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0520" windowHeight="9990" firstSheet="1" activeTab="1"/>
  </bookViews>
  <sheets>
    <sheet name="Guidance for agencies" sheetId="5" state="hidden" r:id="rId1"/>
    <sheet name="Travel" sheetId="1" r:id="rId2"/>
    <sheet name="Hospitality" sheetId="2" r:id="rId3"/>
    <sheet name="Gifts and Benefits" sheetId="4" r:id="rId4"/>
    <sheet name="All Other Expenses" sheetId="3" r:id="rId5"/>
  </sheets>
  <definedNames>
    <definedName name="_ftn1" localSheetId="0">'Guidance for agencies'!#REF!</definedName>
    <definedName name="_ftnref1" localSheetId="0">'Guidance for agencies'!$A$28</definedName>
    <definedName name="_xlnm.Print_Area" localSheetId="4">'All Other Expenses'!$A$1:$E$31</definedName>
    <definedName name="_xlnm.Print_Area" localSheetId="3">'Gifts and Benefits'!$A$3:$E$17</definedName>
    <definedName name="_xlnm.Print_Area" localSheetId="0">'Guidance for agencies'!$A$1:$A$43</definedName>
    <definedName name="_xlnm.Print_Area" localSheetId="2">Hospitality!$A$1:$F$16</definedName>
    <definedName name="_xlnm.Print_Area" localSheetId="1">Travel!$A$1:$D$236</definedName>
  </definedNames>
  <calcPr calcId="179017"/>
</workbook>
</file>

<file path=xl/calcChain.xml><?xml version="1.0" encoding="utf-8"?>
<calcChain xmlns="http://schemas.openxmlformats.org/spreadsheetml/2006/main">
  <c r="B98" i="1" l="1"/>
  <c r="B102" i="1"/>
  <c r="B25" i="3"/>
  <c r="B24" i="3"/>
  <c r="B23" i="3"/>
  <c r="B20" i="3"/>
  <c r="B19" i="3"/>
  <c r="B31" i="3" s="1"/>
  <c r="B228" i="1"/>
  <c r="B26" i="1"/>
  <c r="B25" i="1"/>
  <c r="B150" i="1"/>
  <c r="B149" i="1"/>
  <c r="B148" i="1"/>
  <c r="B147" i="1"/>
  <c r="B151" i="1"/>
  <c r="B146" i="1"/>
  <c r="B145" i="1"/>
  <c r="B144" i="1"/>
  <c r="B143" i="1"/>
  <c r="B142" i="1"/>
  <c r="B141" i="1"/>
  <c r="B140" i="1"/>
  <c r="B139" i="1"/>
  <c r="B138" i="1"/>
  <c r="B137" i="1"/>
  <c r="B136" i="1"/>
  <c r="B135" i="1"/>
  <c r="B134" i="1"/>
  <c r="B133" i="1"/>
  <c r="B131" i="1"/>
  <c r="B130" i="1"/>
  <c r="B129" i="1"/>
  <c r="B128" i="1"/>
  <c r="B127" i="1"/>
  <c r="B126" i="1"/>
  <c r="B124" i="1"/>
  <c r="B119" i="1"/>
  <c r="B118" i="1"/>
  <c r="B117" i="1"/>
  <c r="B116" i="1"/>
  <c r="B115" i="1"/>
  <c r="B230" i="1"/>
  <c r="B229" i="1"/>
  <c r="B24" i="1"/>
  <c r="B23" i="1"/>
  <c r="B22" i="1"/>
  <c r="B21" i="1"/>
  <c r="B20" i="1"/>
  <c r="B19" i="1"/>
  <c r="B17" i="1"/>
  <c r="B16" i="1"/>
  <c r="B15" i="1"/>
  <c r="B227" i="1"/>
  <c r="B114" i="1"/>
  <c r="B113" i="1"/>
  <c r="B112" i="1"/>
  <c r="B110" i="1"/>
  <c r="B109" i="1"/>
  <c r="B108" i="1"/>
  <c r="B107" i="1"/>
  <c r="B106" i="1"/>
  <c r="B105" i="1"/>
  <c r="B104" i="1"/>
  <c r="B103" i="1"/>
  <c r="B101" i="1"/>
  <c r="B94" i="1"/>
  <c r="B91" i="1"/>
  <c r="B88" i="1"/>
  <c r="B83" i="1"/>
  <c r="B78" i="1"/>
  <c r="B18" i="1"/>
  <c r="B14" i="1"/>
  <c r="B12" i="1"/>
  <c r="B11" i="1"/>
  <c r="B10" i="1"/>
  <c r="B69" i="1"/>
  <c r="B54" i="1"/>
  <c r="B45" i="1"/>
  <c r="B73" i="1"/>
  <c r="B62" i="1"/>
  <c r="B41" i="1"/>
  <c r="B36" i="1"/>
  <c r="B35" i="1"/>
  <c r="B3" i="2"/>
  <c r="D17" i="4"/>
  <c r="B16" i="2"/>
  <c r="B4" i="3"/>
  <c r="B3" i="3"/>
  <c r="B2" i="3"/>
  <c r="B4" i="4"/>
  <c r="B3" i="4"/>
  <c r="B2" i="4"/>
  <c r="B4" i="2"/>
  <c r="B2" i="2"/>
  <c r="B31" i="1"/>
  <c r="B235" i="1"/>
  <c r="B219" i="1"/>
  <c r="B236" i="1"/>
</calcChain>
</file>

<file path=xl/sharedStrings.xml><?xml version="1.0" encoding="utf-8"?>
<sst xmlns="http://schemas.openxmlformats.org/spreadsheetml/2006/main" count="513" uniqueCount="289">
  <si>
    <t>Date</t>
  </si>
  <si>
    <t>Location/s</t>
  </si>
  <si>
    <t>Location</t>
  </si>
  <si>
    <t>Disclosure period</t>
  </si>
  <si>
    <t>Sub total</t>
  </si>
  <si>
    <t xml:space="preserve">Purpose (eg, hosting delegation from China) </t>
  </si>
  <si>
    <t>All Other Expenses</t>
  </si>
  <si>
    <t>Total travel expenses</t>
  </si>
  <si>
    <t xml:space="preserve">Organisation Name </t>
  </si>
  <si>
    <t>Chief Executive</t>
  </si>
  <si>
    <t>International, domestic and local travel expenses</t>
  </si>
  <si>
    <t>Nature (eg taxi, parking, bus)</t>
  </si>
  <si>
    <t>Reason (eg building relationships, team building)</t>
  </si>
  <si>
    <t>Nature (what and for how many eg dinner for 5)</t>
  </si>
  <si>
    <t>Total other expenses</t>
  </si>
  <si>
    <t>How to present information</t>
  </si>
  <si>
    <t>Local Travel (within City, excluding travel to airport)</t>
  </si>
  <si>
    <t>DomesticTravel (within NZ, including travel to and from local airport)</t>
  </si>
  <si>
    <t>Nature (eg hotel, airfare, meals &amp; for how many people, other costs)</t>
  </si>
  <si>
    <t>Nature (eg hotel, airfares, taxis, meals &amp; for how many people, other costs)</t>
  </si>
  <si>
    <t>No. of items =</t>
  </si>
  <si>
    <t>** Include eg phone and data costs, subscriptions, membership fees, conference fees,  professional development costs, books and anything else</t>
  </si>
  <si>
    <t xml:space="preserve">Hospitality Offered to Third Parties </t>
  </si>
  <si>
    <t xml:space="preserve">Total  expenses </t>
  </si>
  <si>
    <t>Total gifts &amp; benefits</t>
  </si>
  <si>
    <t>Chief Executive Expense Disclosure</t>
  </si>
  <si>
    <t>Notes</t>
  </si>
  <si>
    <t>Date(s)</t>
  </si>
  <si>
    <t>*** e.g. subscription part of employment agreement, development as agreed with SSC</t>
  </si>
  <si>
    <t>Comment / explanation ***</t>
  </si>
  <si>
    <t xml:space="preserve">Notes </t>
  </si>
  <si>
    <t>* Headings on following tabs will pre populate with what you enter on this tab</t>
  </si>
  <si>
    <t>*** Delete what's inapplicable.  Be consistent - all GST exclusive or all GST inclusive</t>
  </si>
  <si>
    <t>Offered by 
(who made the offer?)</t>
  </si>
  <si>
    <t>Nature ***</t>
  </si>
  <si>
    <t>International Travel (including  travel within NZ at beginning and end of overseas trip)**</t>
  </si>
  <si>
    <t>** Group expenditure relating to each overseas trip</t>
  </si>
  <si>
    <t>** Delete what's inapplicable.  Be consistent - all GST exclusive or all GST inclusive</t>
  </si>
  <si>
    <t>Description ** (e.g. event tickets,  etc)</t>
  </si>
  <si>
    <t xml:space="preserve">CEs disclose the expenses, gifts &amp; hospitality they have expended or been offered using this SSC Excel workbook. </t>
  </si>
  <si>
    <r>
      <rPr>
        <sz val="11"/>
        <rFont val="Arial"/>
        <family val="2"/>
      </rPr>
      <t>If you have any questions, contact the team at</t>
    </r>
    <r>
      <rPr>
        <u/>
        <sz val="11"/>
        <color theme="10"/>
        <rFont val="Arial"/>
        <family val="2"/>
      </rPr>
      <t xml:space="preserve"> ceexpenses@ssc.govt.nz</t>
    </r>
  </si>
  <si>
    <t>When and how often are disclosures made?</t>
  </si>
  <si>
    <r>
      <rPr>
        <u/>
        <sz val="11"/>
        <rFont val="Arial"/>
        <family val="2"/>
      </rPr>
      <t>Provide information using this SSC Excel workbook</t>
    </r>
    <r>
      <rPr>
        <sz val="11"/>
        <rFont val="Arial"/>
        <family val="2"/>
      </rPr>
      <t xml:space="preserve">.  </t>
    </r>
  </si>
  <si>
    <r>
      <rPr>
        <u/>
        <sz val="11"/>
        <rFont val="Arial"/>
        <family val="2"/>
      </rPr>
      <t>Ensure the disclosure is for the full reporting period</t>
    </r>
    <r>
      <rPr>
        <sz val="11"/>
        <rFont val="Arial"/>
        <family val="2"/>
      </rPr>
      <t>.  Include disclosures for Acting CEs.</t>
    </r>
  </si>
  <si>
    <r>
      <t xml:space="preserve">The sub totals and totals </t>
    </r>
    <r>
      <rPr>
        <sz val="11"/>
        <color theme="1"/>
        <rFont val="Arial"/>
        <family val="2"/>
      </rPr>
      <t>should appear automatically, once you add information to the rows above.  Insert more rows as you need.</t>
    </r>
  </si>
  <si>
    <t>Note this tab can  / should be deleted prior to uploading onto the agency website</t>
  </si>
  <si>
    <t>Sub totals and totals will appear automatically once you put information in rows above.</t>
  </si>
  <si>
    <t>Mark clearly if there is no information to disclose.</t>
  </si>
  <si>
    <t>Hospitality</t>
  </si>
  <si>
    <t>Gifts and Benefits over $50 annual value**</t>
  </si>
  <si>
    <t>** All gifts, invitations to events and other hospitality, of $50 or more in total value per year, offered to the CE by people external to the organisation</t>
  </si>
  <si>
    <t>*** Mark clearly if cost include GST or not. Be consistent - all GST exclusive or all GST inclusive</t>
  </si>
  <si>
    <t>Estimated total value will appear automatically once you put information in rows above.</t>
  </si>
  <si>
    <t>All Other Expenses**</t>
  </si>
  <si>
    <t>Total cost will appear automatically once you put information in rows above.</t>
  </si>
  <si>
    <t>All gifts, invitations to events and other hospitality, of $50 or more in total value per year, offered to the CE by people external to the organisation</t>
  </si>
  <si>
    <t xml:space="preserve">
All expenses incurred by CE during international, domestic and local travel. For international travel, group expenses relating to each trip.
</t>
  </si>
  <si>
    <t>Purpose</t>
  </si>
  <si>
    <t>* Headings on this tab will be pre populated with what you enter on the Travel tab</t>
  </si>
  <si>
    <t>Purpose of trip (eg attending XYZ conference for 3 days)****</t>
  </si>
  <si>
    <t>Purpose (eg visiting district office for two days...) ****</t>
  </si>
  <si>
    <t>Purpose (eg meeting with Minister) ****</t>
  </si>
  <si>
    <t>**** Please include sufficient information to explain the trip and its costs including destination and duration.</t>
  </si>
  <si>
    <t>Third parties include people and organisastions external to the public service or statutory Crown entities.</t>
  </si>
  <si>
    <t>Include items such as  invitations to functions and events, event tickets, gifts from overseas counterparts and commercial organisations (including that accepted by immediate family members).</t>
  </si>
  <si>
    <t>Comments</t>
  </si>
  <si>
    <t>A one-off offer of something worth $25 is not included, but if the offer is made more than once a year, it should be disclosed.</t>
  </si>
  <si>
    <t>The following is a summary from "Chief Executive Expense Disclosures: A Guide for Agency Staff".  Please read that in full first.</t>
  </si>
  <si>
    <t>The disclosures help CEs to demonstrate the values and behaviours expected of all public servants.</t>
  </si>
  <si>
    <t>The purpose of regular public disclosure of Chief Executive's (CE) expenses is to provide transparency and accountability for discretionary expenditure by CEs of Public Service departments and statutory Crown entities.</t>
  </si>
  <si>
    <t>They make transparent the standards of probity expected of the CEs and ensure their expenses are open to public scrutiny.</t>
  </si>
  <si>
    <t>This assists public understanding of, and confidence in, the purpose and appropriateness of expenditure.</t>
  </si>
  <si>
    <t>What is covered?</t>
  </si>
  <si>
    <t>All expenses for items experienced or used by CEs in perfroming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</si>
  <si>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</si>
  <si>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</si>
  <si>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</si>
  <si>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</si>
  <si>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</si>
  <si>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Disclosed Information</t>
  </si>
  <si>
    <t>This workbook includes a tab for each of the following categories</t>
  </si>
  <si>
    <r>
      <rPr>
        <u/>
        <sz val="11"/>
        <rFont val="Arial"/>
        <family val="2"/>
      </rPr>
      <t>Hospitality</t>
    </r>
    <r>
      <rPr>
        <sz val="11"/>
        <rFont val="Arial"/>
        <family val="2"/>
      </rPr>
      <t xml:space="preserve">  - All work-related hospitality expenses provided by the CE to people external to Public Service departments and statutory Crown entities. </t>
    </r>
  </si>
  <si>
    <t>In rare cases where the cost of a gift cannot be reasonably estimated or disclosing the estimated value might cause offence, its value can be described as "value unknown".</t>
  </si>
  <si>
    <r>
      <rPr>
        <u/>
        <sz val="11"/>
        <rFont val="Arial"/>
        <family val="2"/>
      </rPr>
      <t>All other expenses</t>
    </r>
    <r>
      <rPr>
        <sz val="11"/>
        <rFont val="Arial"/>
        <family val="2"/>
      </rPr>
      <t xml:space="preserve"> incurred by the CE that are not captured under the definition of travel, hospitality or gifts and benefits are disclosed in this section. This includes items such as cell phone and data costs, subscriptions, membership fees, conference fees, and professional development fees.</t>
    </r>
  </si>
  <si>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</si>
  <si>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Whether costs are GST exclusive or inclusive needs to be consistent. You have the option to use GST exclusive or inclusive as it may depend how you get your source information.</t>
  </si>
  <si>
    <r>
      <t>Mark clearly if no information to disclose - where t</t>
    </r>
    <r>
      <rPr>
        <sz val="11"/>
        <color theme="1"/>
        <rFont val="Arial"/>
        <family val="2"/>
      </rPr>
      <t>here is no information to disclose, record this clearly on the spreadsheet with a suitable description such as “no travel expenses to disclose for this period”; “no gifts received” or “no hospitality provided”. Please do not leave the page blank.</t>
    </r>
  </si>
  <si>
    <r>
      <rPr>
        <u/>
        <sz val="11"/>
        <rFont val="Arial"/>
        <family val="2"/>
      </rPr>
      <t>Provide sufficient detail for each item in the spreadsheet</t>
    </r>
    <r>
      <rPr>
        <sz val="11"/>
        <rFont val="Arial"/>
        <family val="2"/>
      </rPr>
      <t xml:space="preserve">.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r>
  </si>
  <si>
    <t>The Disclosures webpage could be headed with a statement such as: “(This agency) is disclosing the Chief Executive’s expenses, gifts and hospitality as part of its commitment to transparency and accountability".</t>
  </si>
  <si>
    <t>The completed Excel workbooks are posted on agency websites and linked to www.data.govt.nz. See https://www.data.govt.nz/toolkit/how-do-i-add-or-update-our-chief-executive-expenses/</t>
  </si>
  <si>
    <t>Questions can be directed to ceexpenses@ssc.govt.nz. For help with publishing contact info@data.govt.nz.</t>
  </si>
  <si>
    <t>Disclosures cover the June 30 year and are expected to be published by July 31.</t>
  </si>
  <si>
    <r>
      <rPr>
        <u/>
        <sz val="11"/>
        <rFont val="Arial"/>
        <family val="2"/>
      </rPr>
      <t>Travel</t>
    </r>
    <r>
      <rPr>
        <b/>
        <sz val="11"/>
        <rFont val="Arial"/>
        <family val="2"/>
      </rPr>
      <t xml:space="preserve"> - </t>
    </r>
    <r>
      <rPr>
        <sz val="11"/>
        <rFont val="Arial"/>
        <family val="2"/>
      </rPr>
      <t xml:space="preserve">All expenses incurred by CEs during international, national and local travel are disclosed.  Expenditure relating to each overseas trip is grouped, but the nature of the items of expenditure are disclosed separately, with individual lines for the likes of airfares, accommodation, meals, and taxis. </t>
    </r>
  </si>
  <si>
    <r>
      <rPr>
        <u/>
        <sz val="11"/>
        <rFont val="Arial"/>
        <family val="2"/>
      </rPr>
      <t>Gifts and benefits</t>
    </r>
    <r>
      <rPr>
        <sz val="11"/>
        <rFont val="Arial"/>
        <family val="2"/>
      </rPr>
      <t> - All gifts, invitations to events and other hospitality, of $50 or more in total value per year, accepted by the CE from people external to the organisation are disclosed.  A brief explanation of what the CE did with the gifts and benefits can be supplied. Declined gifts and benefits do not need to be disclosed.</t>
    </r>
  </si>
  <si>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</si>
  <si>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r>
      <rPr>
        <u/>
        <sz val="11"/>
        <rFont val="Arial"/>
        <family val="2"/>
      </rPr>
      <t xml:space="preserve">Complete separate tables for each category </t>
    </r>
    <r>
      <rPr>
        <sz val="11"/>
        <rFont val="Arial"/>
        <family val="2"/>
      </rPr>
      <t>using the tabs provided in this Excel workbook: Travel, Hospitality, Gifts and Benefits, All other expenses.</t>
    </r>
  </si>
  <si>
    <r>
      <rPr>
        <u/>
        <sz val="11"/>
        <color theme="1"/>
        <rFont val="Arial"/>
        <family val="2"/>
      </rPr>
      <t xml:space="preserve">Complete all fields. </t>
    </r>
    <r>
      <rPr>
        <sz val="11"/>
        <color theme="1"/>
        <rFont val="Arial"/>
        <family val="2"/>
      </rPr>
      <t xml:space="preserve"> The header (organisation name, CE name and reporting period) will pre-populate if you enter it on first tab.</t>
    </r>
  </si>
  <si>
    <r>
      <rPr>
        <u/>
        <sz val="11"/>
        <color theme="1"/>
        <rFont val="Arial"/>
        <family val="2"/>
      </rPr>
      <t>Uploading the workbook</t>
    </r>
    <r>
      <rPr>
        <sz val="11"/>
        <color theme="1"/>
        <rFont val="Arial"/>
        <family val="2"/>
      </rPr>
      <t xml:space="preserve"> - please ensure it is easy to find on your website.</t>
    </r>
  </si>
  <si>
    <r>
      <rPr>
        <u/>
        <sz val="10"/>
        <rFont val="Arial"/>
        <family val="2"/>
      </rPr>
      <t>For help with publishing on data.govt contact</t>
    </r>
    <r>
      <rPr>
        <u/>
        <sz val="10"/>
        <color theme="10"/>
        <rFont val="Arial"/>
        <family val="2"/>
      </rPr>
      <t xml:space="preserve"> info@data.govt.nz.</t>
    </r>
  </si>
  <si>
    <t>Ministry for Pacific Peoples</t>
  </si>
  <si>
    <t>Mac Leauanae</t>
  </si>
  <si>
    <t>Cost ($)
(inc GST)***</t>
  </si>
  <si>
    <t>13.07.2017</t>
  </si>
  <si>
    <t>24 - 27/08/2017</t>
  </si>
  <si>
    <t>30/08 - 3/09/2017</t>
  </si>
  <si>
    <t>9 - 10/09/2017</t>
  </si>
  <si>
    <t>18 - 20/09/2017</t>
  </si>
  <si>
    <t>28 - 30/09/2017</t>
  </si>
  <si>
    <t>Cost ($)****
(inc GST)</t>
  </si>
  <si>
    <t>Cost ($)
(inc GST)**</t>
  </si>
  <si>
    <t>Mea alofa</t>
  </si>
  <si>
    <t>Work cell phone cover</t>
  </si>
  <si>
    <t>Taxi from Office to Wellington Airport</t>
  </si>
  <si>
    <t xml:space="preserve">Taxi from Wellington Airport </t>
  </si>
  <si>
    <t>Taxi to Wellington Airport</t>
  </si>
  <si>
    <t>Taxi to Auckland Airport</t>
  </si>
  <si>
    <t>Taxi from Wellington Airport</t>
  </si>
  <si>
    <t>Taxi from Auckland Airport</t>
  </si>
  <si>
    <t>Mobile phone costs</t>
  </si>
  <si>
    <t>Cost (NZ$)
(inc GST)***</t>
  </si>
  <si>
    <t>Estimated value (NZ$)
(inc GST)***</t>
  </si>
  <si>
    <t>7 - 8/09/2017</t>
  </si>
  <si>
    <t>Taxi from Office</t>
  </si>
  <si>
    <t>Attending Event at Victoria University of Wellington</t>
  </si>
  <si>
    <t>Airfare Wellington/Christchurch</t>
  </si>
  <si>
    <t>Airfare Christchurch to Auckland</t>
  </si>
  <si>
    <t>Airfare Wellington/Auckland return</t>
  </si>
  <si>
    <t>Taxi to meeting</t>
  </si>
  <si>
    <t>Taxi from meeting</t>
  </si>
  <si>
    <t>Taxi to event</t>
  </si>
  <si>
    <t>Speaker at SAASIA (Sosaiete Aoga Amata Samoa I Aotearoa) Conference</t>
  </si>
  <si>
    <t>1 Blunt XS Metro Umbrella</t>
  </si>
  <si>
    <t>Pacific Perspectives</t>
  </si>
  <si>
    <t>1 Sculptured Plaque</t>
  </si>
  <si>
    <t>Victoria University</t>
  </si>
  <si>
    <t>Wellington</t>
  </si>
  <si>
    <t>Auckland</t>
  </si>
  <si>
    <t>Visiting Christchurch Regional office</t>
  </si>
  <si>
    <t>Meeting Auckland Regional Stakeholder</t>
  </si>
  <si>
    <t>Meeting Auckland Regional Stakeholders</t>
  </si>
  <si>
    <t>Taxi to Office</t>
  </si>
  <si>
    <t>9 - 12/11/2017</t>
  </si>
  <si>
    <t>ANZSOG CEO Forum in Melbourne, Australia</t>
  </si>
  <si>
    <t>Airfare Wellington to Melbourne return</t>
  </si>
  <si>
    <t>Road toll charges for rental car</t>
  </si>
  <si>
    <t>Accommodation</t>
  </si>
  <si>
    <t>Fiji Language Week Launch</t>
  </si>
  <si>
    <t>6 - 8/10/2017</t>
  </si>
  <si>
    <t>Airfare Wellington to Auckland return</t>
  </si>
  <si>
    <t>Niue Language Week Launch</t>
  </si>
  <si>
    <t>13 - 15/10/2017</t>
  </si>
  <si>
    <t>19 - 23/10/2017</t>
  </si>
  <si>
    <t>Airfare Auckland to Wellington return</t>
  </si>
  <si>
    <t>23 - 24.10.2017</t>
  </si>
  <si>
    <t>Rental car from Wellington Airport</t>
  </si>
  <si>
    <t>Airfare Wellington to Christchurch to Auckland</t>
  </si>
  <si>
    <t>Taxi from Christchurch Airport to Christchurch Office</t>
  </si>
  <si>
    <t>Airfare Auckland to Wellington</t>
  </si>
  <si>
    <t>Return to National Office</t>
  </si>
  <si>
    <t>13 - 19/11/2017</t>
  </si>
  <si>
    <t xml:space="preserve">Airfare Wellington to Auckland return </t>
  </si>
  <si>
    <t>Taxi from Auckland International Airport</t>
  </si>
  <si>
    <t>Carparking</t>
  </si>
  <si>
    <t>29/11 - 03/12/2017</t>
  </si>
  <si>
    <t>Taxi</t>
  </si>
  <si>
    <t>2 Fans</t>
  </si>
  <si>
    <t>Meals</t>
  </si>
  <si>
    <t>Meal</t>
  </si>
  <si>
    <t>Taxi trip to Wellington Airport</t>
  </si>
  <si>
    <t>Building relationships</t>
  </si>
  <si>
    <t>Gift for former Chair of Assurance, Risk and Advisory Committee</t>
  </si>
  <si>
    <t>Skills Update Limited</t>
  </si>
  <si>
    <t>To hosts of Tongan Language Week</t>
  </si>
  <si>
    <t>Held in Chief Executive's Office</t>
  </si>
  <si>
    <t>Tuvalu Tamaliki and Matua, Wellington region</t>
  </si>
  <si>
    <t>2 Gift Baskets</t>
  </si>
  <si>
    <t>Paua bowl and MPP Island shirt</t>
  </si>
  <si>
    <t>4 - 5/03/2018</t>
  </si>
  <si>
    <t>Prime Minister's Pacific Mission Visit 2018</t>
  </si>
  <si>
    <t>4 &amp; 5/03/2018</t>
  </si>
  <si>
    <t>6 - 7/03/2018</t>
  </si>
  <si>
    <t>6 &amp; 7/03/2018</t>
  </si>
  <si>
    <t>Accommodation in Samoa</t>
  </si>
  <si>
    <t>Accommodation and breakfast in Tonga</t>
  </si>
  <si>
    <t>Accommodation in Rarotonga</t>
  </si>
  <si>
    <t>Taxi in Auckland</t>
  </si>
  <si>
    <t xml:space="preserve">Taxi </t>
  </si>
  <si>
    <t>Airfare Wellington/Auckland</t>
  </si>
  <si>
    <t>25/01 - 7/02/2018</t>
  </si>
  <si>
    <t>4 - 5/02/2018</t>
  </si>
  <si>
    <t>Auckland Airport carparking</t>
  </si>
  <si>
    <t>Airfare Auckland to Bay of Islands return</t>
  </si>
  <si>
    <t>4 and 5/02/2018</t>
  </si>
  <si>
    <t>Dinner</t>
  </si>
  <si>
    <t>5.02.2018</t>
  </si>
  <si>
    <t>12 - 13/02/2018</t>
  </si>
  <si>
    <t>23 - 26/02/2018</t>
  </si>
  <si>
    <t xml:space="preserve">Airfare Wellington to Auckland </t>
  </si>
  <si>
    <t xml:space="preserve">Taxi from Auckland Airport </t>
  </si>
  <si>
    <t>12 - 15/03/2018</t>
  </si>
  <si>
    <t>Airfare Auckland to Wellngton return</t>
  </si>
  <si>
    <t>22 - 26/03/2018</t>
  </si>
  <si>
    <t>Refreshments</t>
  </si>
  <si>
    <t>To Moata'a Village Mangrove Walkway Samoa, Prime Minister's Pacific Mission Visit 2018</t>
  </si>
  <si>
    <t>Samoa</t>
  </si>
  <si>
    <t>To Village in Tonga, electricity network, Prime Minister's Pacific Mission Visit 2018</t>
  </si>
  <si>
    <t>Tonga</t>
  </si>
  <si>
    <t>3 July 2017 to 30 June 2018</t>
  </si>
  <si>
    <t>Airfare Auckland to Wellngton</t>
  </si>
  <si>
    <t>19 - 26/04/2018</t>
  </si>
  <si>
    <t>1 - 2/05/2018</t>
  </si>
  <si>
    <t>Airfare Wellington to Hamilton return</t>
  </si>
  <si>
    <t>Airfare Wellington/Christchurch return</t>
  </si>
  <si>
    <t>2 - 3/05/2018</t>
  </si>
  <si>
    <t>Rental car in Christchurch</t>
  </si>
  <si>
    <t xml:space="preserve">Carparking for rental car </t>
  </si>
  <si>
    <t>8 - 14/05/2018</t>
  </si>
  <si>
    <t>Taxi  to Auckland Airport</t>
  </si>
  <si>
    <t>2018 Pacific Heads of Mission Breakfast</t>
  </si>
  <si>
    <t>24 - 28/05/2018</t>
  </si>
  <si>
    <t>5 - 7/06/2018</t>
  </si>
  <si>
    <t>7 - 11/06/2018</t>
  </si>
  <si>
    <t>14 - 18/06/2018</t>
  </si>
  <si>
    <t>21 - 25/06/2018</t>
  </si>
  <si>
    <t>Attending Shared Prosperity Conference 2018</t>
  </si>
  <si>
    <t>Accommodation - late cancellation</t>
  </si>
  <si>
    <t>Meeting Christchurch Regional Stakeholders</t>
  </si>
  <si>
    <t>Taxi to Wellington  Airport</t>
  </si>
  <si>
    <t>Interview Panel and  visiting Auckland Regional Office</t>
  </si>
  <si>
    <t>Official Welcome for General Manager Regional Partnerships in Auckland</t>
  </si>
  <si>
    <t>Tokelau Language Week National Launch in Lower Hutt</t>
  </si>
  <si>
    <t>MPP Community Fono held at Auckland Office</t>
  </si>
  <si>
    <t>Attending Pasifika VIP Function, Auckland Regional Meetings and Pasifika Festival</t>
  </si>
  <si>
    <t>Attending the Official Launch of the Waikato Pacific Business Network</t>
  </si>
  <si>
    <t>Meeting External Auckland Regional Stakeholder</t>
  </si>
  <si>
    <t>Attending Launch of Tongan Language Week 2017</t>
  </si>
  <si>
    <t>Attending Westpac Women of Influence Gala Dinner and Meeting Auckland Regional Stakeholders</t>
  </si>
  <si>
    <t>Taxi to Event</t>
  </si>
  <si>
    <t>Taxi from Event</t>
  </si>
  <si>
    <t>Taxi from Wellington Airport to Event</t>
  </si>
  <si>
    <t>Attending ASB Polyfest Meeting, meeting Auckland Regional Stakeholders, and opening of Auckland Regional Office</t>
  </si>
  <si>
    <t>Taxi from Auckland Airport to Auckland Policy Office</t>
  </si>
  <si>
    <t>Taxi from Auckland Policy office</t>
  </si>
  <si>
    <t>Guest of Honour at Tongan Language Week Event  and Po Fiefia Event</t>
  </si>
  <si>
    <t>Attending Ministry of Education Future Forum and Tuvalu Language Week Official Launch in Auckland, and speaking at SAASIA (Sosaiete Aoga Amata Samoa I Aotearoa) Conference in Wellington</t>
  </si>
  <si>
    <t>Meetings with Auckland Career Board and Auckland Regional Stakeholders</t>
  </si>
  <si>
    <t>Taxi from Auckland Policy Office</t>
  </si>
  <si>
    <t>Auckland Regional Meetings and attending 2017 SunPix Pacific Peoples Awards</t>
  </si>
  <si>
    <t xml:space="preserve">Attending Samoa Airways welcome event </t>
  </si>
  <si>
    <t>Taxi from Airport to accommodation</t>
  </si>
  <si>
    <t>Attending Pacific Law, Custom and Constitutionalism Conference</t>
  </si>
  <si>
    <t>Taxi to Conference</t>
  </si>
  <si>
    <t>Taxi from meeting to Community Fono</t>
  </si>
  <si>
    <t>Taxi to Wellington Airport to collect luggage</t>
  </si>
  <si>
    <t>Attending Toloa Scholarships Awards Ceremony and meeting Auckland Regional Stakeholders</t>
  </si>
  <si>
    <t>Attending Mana Polyfest VIP Event and ASB Polyfest in Auckland</t>
  </si>
  <si>
    <t>Attending Prime Minister's Pacific Youth Awards Ceremony in Auckland</t>
  </si>
  <si>
    <t>Attending PBT Board meeting and RIVER meeting</t>
  </si>
  <si>
    <t>Meeting with Minister</t>
  </si>
  <si>
    <t>Meeting with Auckland Career Board and Auckland Regional Stakeholders</t>
  </si>
  <si>
    <t>Attending Kiwa Nuanua: Pacific Tech Summit</t>
  </si>
  <si>
    <t>Speaking at Pacific Graduation Celebration and meeting Auckland Regional Stakeholders</t>
  </si>
  <si>
    <t>Attend Powhiri in Auckland for Vui Mark Gosche - first member of the Pacific Community to chair a District Health Board.</t>
  </si>
  <si>
    <t>Attending 2018 Vodafone Pacific Music Awards and 2018 Pacific Heads of Mission Breakfast</t>
  </si>
  <si>
    <t>Attending Post-Budget Breakfast and meeting RIVER</t>
  </si>
  <si>
    <t>Meetings with Auckland Career Board, Pacific Elders and Other Auckland Regional Stakeholders</t>
  </si>
  <si>
    <t>Speaker at IPANZ Event, attending Sunpix and TP+ Launch and Pacific Business Awards 2018</t>
  </si>
  <si>
    <t>Return to Office after speaking at SAASIA Conference</t>
  </si>
  <si>
    <t>Keynote speaker at Ministry of Health Pasifika Staff Network</t>
  </si>
  <si>
    <t>Attending Funeral Mass with MPP staff members</t>
  </si>
  <si>
    <t>D5 Diversity Panel Discussion</t>
  </si>
  <si>
    <t>Thankyou lunch (Wellington Regional Stakeholders)</t>
  </si>
  <si>
    <t xml:space="preserve">Rental car </t>
  </si>
  <si>
    <t xml:space="preserve">Attendance at the Diversity Awards 2017 </t>
  </si>
  <si>
    <t>Taxi to meeting of external Auckland regional stakeholders</t>
  </si>
  <si>
    <t xml:space="preserve"> Tokelau Language Week National Launch </t>
  </si>
  <si>
    <t>Meetings with Auckland Regional Stakeholders</t>
  </si>
  <si>
    <t>Attendance at Waitangi Day Events in Waitangi and Auckland</t>
  </si>
  <si>
    <t>Taxi to Powhiri</t>
  </si>
  <si>
    <t>Meals in Samoa</t>
  </si>
  <si>
    <t>Meals in Rarotonga, Cook Islands</t>
  </si>
  <si>
    <t>Professional Development</t>
  </si>
  <si>
    <t>Distributed to staff</t>
  </si>
  <si>
    <t xml:space="preserve">To National Office to attend DPMC Chief Executives  meeting (post-election debrief)  </t>
  </si>
  <si>
    <t>Ava Ceremony for Southern Regional Manager in Christchurch, then meeting with External Auckland Regional Stakeholders (National Pacific Radio Trust Board and SAASIA)</t>
  </si>
  <si>
    <t>Cellphone glass screen protector</t>
  </si>
  <si>
    <t>All hospitality expenses provided by the CE in the context of his job to anyone external to the Public Service or statutory Crown entities.</t>
  </si>
  <si>
    <t>All other expenditure incurred by the Chief Executive that is not travel, hospitality or gifts</t>
  </si>
  <si>
    <t>Gifts and Hospitality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</si>
</sst>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 #,##0.00_);_(* \(#,##0.00\);_(* &quot;-&quot;??_);_(@_)"/>
  </numFmts>
  <fonts count="27" x14ac:knownFonts="1">
    <font>
      <sz val="10"/>
      <color theme="1"/>
      <name val="Arial"/>
      <family val="2"/>
    </font>
    <font>
      <b/>
      <sz val="10"/>
      <color indexed="8"/>
      <name val="Arial"/>
      <family val="2"/>
    </font>
    <font>
      <b/>
      <i/>
      <sz val="12"/>
      <color indexed="8"/>
      <name val="Arial"/>
      <family val="2"/>
    </font>
    <font>
      <b/>
      <sz val="12"/>
      <color indexed="8"/>
      <name val="Arial"/>
      <family val="2"/>
    </font>
    <font>
      <b/>
      <sz val="14"/>
      <color indexed="8"/>
      <name val="Arial"/>
      <family val="2"/>
    </font>
    <font>
      <b/>
      <sz val="11"/>
      <color indexed="8"/>
      <name val="Arial"/>
      <family val="2"/>
    </font>
    <font>
      <b/>
      <sz val="10"/>
      <color theme="1"/>
      <name val="Arial"/>
      <family val="2"/>
    </font>
    <font>
      <sz val="14"/>
      <color theme="1"/>
      <name val="Arial"/>
      <family val="2"/>
    </font>
    <font>
      <sz val="14"/>
      <color indexed="8"/>
      <name val="Arial"/>
      <family val="2"/>
    </font>
    <font>
      <i/>
      <sz val="10"/>
      <color indexed="8"/>
      <name val="Arial"/>
      <family val="2"/>
    </font>
    <font>
      <sz val="10"/>
      <color indexed="8"/>
      <name val="Arial"/>
      <family val="2"/>
    </font>
    <font>
      <sz val="11"/>
      <color theme="1"/>
      <name val="Arial"/>
      <family val="2"/>
    </font>
    <font>
      <b/>
      <sz val="11"/>
      <color theme="1"/>
      <name val="Arial"/>
      <family val="2"/>
    </font>
    <font>
      <i/>
      <sz val="10"/>
      <color theme="1"/>
      <name val="Arial"/>
      <family val="2"/>
    </font>
    <font>
      <b/>
      <i/>
      <sz val="10"/>
      <color theme="1"/>
      <name val="Arial"/>
      <family val="2"/>
    </font>
    <font>
      <b/>
      <sz val="16"/>
      <color indexed="8"/>
      <name val="Arial"/>
      <family val="2"/>
    </font>
    <font>
      <sz val="16"/>
      <color theme="1"/>
      <name val="Arial"/>
      <family val="2"/>
    </font>
    <font>
      <i/>
      <sz val="12"/>
      <color theme="1"/>
      <name val="Arial"/>
      <family val="2"/>
    </font>
    <font>
      <u/>
      <sz val="10"/>
      <color theme="10"/>
      <name val="Arial"/>
      <family val="2"/>
    </font>
    <font>
      <sz val="11"/>
      <name val="Arial"/>
      <family val="2"/>
    </font>
    <font>
      <b/>
      <sz val="11"/>
      <name val="Arial"/>
      <family val="2"/>
    </font>
    <font>
      <u/>
      <sz val="11"/>
      <name val="Arial"/>
      <family val="2"/>
    </font>
    <font>
      <u/>
      <sz val="11"/>
      <color theme="1"/>
      <name val="Arial"/>
      <family val="2"/>
    </font>
    <font>
      <b/>
      <sz val="16"/>
      <color theme="1"/>
      <name val="Arial"/>
      <family val="2"/>
    </font>
    <font>
      <u/>
      <sz val="11"/>
      <color theme="10"/>
      <name val="Arial"/>
      <family val="2"/>
    </font>
    <font>
      <u/>
      <sz val="10"/>
      <name val="Arial"/>
      <family val="2"/>
    </font>
    <font>
      <sz val="10"/>
      <color theme="1"/>
      <name val="Arial"/>
      <family val="2"/>
    </font>
  </fonts>
  <fills count="10">
    <fill>
      <patternFill patternType="none"/>
    </fill>
    <fill>
      <patternFill patternType="gray125"/>
    </fill>
    <fill>
      <patternFill patternType="solid">
        <fgColor indexed="11"/>
        <bgColor indexed="64"/>
      </patternFill>
    </fill>
    <fill>
      <patternFill patternType="solid">
        <fgColor rgb="FFFFC000"/>
        <bgColor indexed="64"/>
      </patternFill>
    </fill>
    <fill>
      <patternFill patternType="solid">
        <fgColor rgb="FF99CCFF"/>
        <bgColor indexed="64"/>
      </patternFill>
    </fill>
    <fill>
      <patternFill patternType="solid">
        <fgColor rgb="FF00FF00"/>
        <bgColor indexed="64"/>
      </patternFill>
    </fill>
    <fill>
      <patternFill patternType="solid">
        <fgColor theme="3" tint="0.79998168889431442"/>
        <bgColor indexed="64"/>
      </patternFill>
    </fill>
    <fill>
      <patternFill patternType="solid">
        <fgColor rgb="FF99FF99"/>
        <bgColor indexed="64"/>
      </patternFill>
    </fill>
    <fill>
      <patternFill patternType="solid">
        <fgColor rgb="FFFF0000"/>
        <bgColor indexed="64"/>
      </patternFill>
    </fill>
    <fill>
      <patternFill patternType="solid">
        <fgColor theme="9" tint="0.39997558519241921"/>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8" fillId="0" borderId="0" applyNumberFormat="0" applyFill="0" applyBorder="0" applyAlignment="0" applyProtection="0"/>
    <xf numFmtId="44" fontId="26" fillId="0" borderId="0" applyFont="0" applyFill="0" applyBorder="0" applyAlignment="0" applyProtection="0"/>
  </cellStyleXfs>
  <cellXfs count="240">
    <xf numFmtId="0" fontId="0" fillId="0" borderId="0" xfId="0"/>
    <xf numFmtId="0" fontId="0" fillId="0" borderId="0" xfId="0" applyAlignment="1">
      <alignment wrapText="1"/>
    </xf>
    <xf numFmtId="0" fontId="1" fillId="0" borderId="0" xfId="0" applyFont="1" applyBorder="1" applyAlignment="1">
      <alignment wrapText="1"/>
    </xf>
    <xf numFmtId="0" fontId="2" fillId="0" borderId="0" xfId="0" applyFont="1" applyFill="1" applyBorder="1" applyAlignment="1">
      <alignment wrapText="1"/>
    </xf>
    <xf numFmtId="0" fontId="0" fillId="0" borderId="0" xfId="0" applyFill="1" applyBorder="1" applyAlignment="1">
      <alignment wrapText="1"/>
    </xf>
    <xf numFmtId="0" fontId="0" fillId="0" borderId="6" xfId="0" applyBorder="1" applyAlignment="1">
      <alignment wrapText="1"/>
    </xf>
    <xf numFmtId="0" fontId="0" fillId="0" borderId="0" xfId="0" applyFont="1" applyAlignment="1">
      <alignment wrapText="1"/>
    </xf>
    <xf numFmtId="0" fontId="0" fillId="0" borderId="0" xfId="0" applyFont="1"/>
    <xf numFmtId="0" fontId="3" fillId="0" borderId="0" xfId="0" applyFont="1" applyFill="1" applyBorder="1" applyAlignment="1">
      <alignment wrapText="1"/>
    </xf>
    <xf numFmtId="0" fontId="0" fillId="0" borderId="0" xfId="0" applyFont="1" applyBorder="1" applyAlignment="1">
      <alignment wrapText="1"/>
    </xf>
    <xf numFmtId="0" fontId="0" fillId="0" borderId="0" xfId="0" applyFont="1" applyBorder="1"/>
    <xf numFmtId="0" fontId="0" fillId="0" borderId="0" xfId="0" applyFont="1" applyFill="1" applyBorder="1"/>
    <xf numFmtId="0" fontId="0" fillId="0" borderId="9" xfId="0" applyFont="1" applyBorder="1" applyAlignment="1">
      <alignment wrapText="1"/>
    </xf>
    <xf numFmtId="0" fontId="0" fillId="0" borderId="6" xfId="0" applyFont="1" applyBorder="1" applyAlignment="1">
      <alignment wrapText="1"/>
    </xf>
    <xf numFmtId="0" fontId="0" fillId="0" borderId="2" xfId="0" applyFont="1" applyBorder="1" applyAlignment="1">
      <alignment wrapText="1"/>
    </xf>
    <xf numFmtId="0" fontId="6" fillId="0" borderId="0" xfId="0" applyFont="1" applyBorder="1" applyAlignment="1">
      <alignment wrapText="1"/>
    </xf>
    <xf numFmtId="0" fontId="6" fillId="0" borderId="9" xfId="0" applyFont="1" applyBorder="1" applyAlignment="1">
      <alignment wrapText="1"/>
    </xf>
    <xf numFmtId="0" fontId="6" fillId="0" borderId="0" xfId="0" applyFont="1" applyBorder="1"/>
    <xf numFmtId="0" fontId="1" fillId="0" borderId="0" xfId="0" applyFont="1" applyBorder="1" applyAlignment="1">
      <alignment vertical="center" wrapText="1"/>
    </xf>
    <xf numFmtId="0" fontId="0" fillId="0" borderId="0" xfId="0" applyAlignment="1">
      <alignment vertical="center" wrapText="1"/>
    </xf>
    <xf numFmtId="0" fontId="6" fillId="0" borderId="0" xfId="0" applyFont="1" applyBorder="1" applyAlignment="1">
      <alignment wrapText="1"/>
    </xf>
    <xf numFmtId="0" fontId="4" fillId="6" borderId="12" xfId="0" applyFont="1" applyFill="1" applyBorder="1" applyAlignment="1">
      <alignment vertical="center" wrapText="1" readingOrder="1"/>
    </xf>
    <xf numFmtId="0" fontId="7" fillId="0" borderId="0" xfId="0" applyFont="1" applyBorder="1" applyAlignment="1">
      <alignment vertical="center" wrapText="1" readingOrder="1"/>
    </xf>
    <xf numFmtId="0" fontId="8" fillId="0" borderId="0" xfId="0" applyFont="1" applyBorder="1" applyAlignment="1">
      <alignment vertical="center" wrapText="1" readingOrder="1"/>
    </xf>
    <xf numFmtId="0" fontId="14" fillId="0" borderId="0" xfId="0" applyFont="1" applyBorder="1"/>
    <xf numFmtId="0" fontId="6" fillId="0" borderId="0" xfId="0" applyFont="1" applyBorder="1" applyAlignment="1">
      <alignment vertical="center"/>
    </xf>
    <xf numFmtId="0" fontId="11" fillId="0" borderId="0" xfId="0" applyFont="1" applyAlignment="1">
      <alignment horizontal="justify" vertical="center"/>
    </xf>
    <xf numFmtId="0" fontId="19" fillId="0" borderId="0" xfId="0" applyFont="1"/>
    <xf numFmtId="0" fontId="20" fillId="0" borderId="0" xfId="0" applyFont="1" applyAlignment="1">
      <alignment horizontal="justify" vertical="center"/>
    </xf>
    <xf numFmtId="0" fontId="19" fillId="0" borderId="0" xfId="0" applyFont="1" applyAlignment="1">
      <alignment horizontal="justify" vertical="center"/>
    </xf>
    <xf numFmtId="0" fontId="19" fillId="0" borderId="0" xfId="1" applyFont="1" applyAlignment="1">
      <alignment horizontal="justify" vertical="center"/>
    </xf>
    <xf numFmtId="0" fontId="19" fillId="0" borderId="0" xfId="0" applyFont="1" applyAlignment="1">
      <alignment horizontal="left" vertical="center" wrapText="1"/>
    </xf>
    <xf numFmtId="0" fontId="11" fillId="0" borderId="0" xfId="0" applyFont="1" applyAlignment="1">
      <alignment wrapText="1"/>
    </xf>
    <xf numFmtId="0" fontId="19" fillId="0" borderId="0" xfId="0" applyFont="1" applyAlignment="1">
      <alignment horizontal="center"/>
    </xf>
    <xf numFmtId="0" fontId="20" fillId="8" borderId="0" xfId="0" applyFont="1" applyFill="1" applyAlignment="1">
      <alignment horizontal="center" vertical="center"/>
    </xf>
    <xf numFmtId="0" fontId="0" fillId="0" borderId="0" xfId="0" applyFont="1" applyBorder="1" applyAlignment="1">
      <alignment wrapText="1"/>
    </xf>
    <xf numFmtId="0" fontId="0" fillId="0" borderId="9" xfId="0" applyBorder="1" applyAlignment="1">
      <alignment vertical="top"/>
    </xf>
    <xf numFmtId="0" fontId="0" fillId="0" borderId="0" xfId="0" applyBorder="1" applyAlignment="1"/>
    <xf numFmtId="0" fontId="22" fillId="0" borderId="0" xfId="0" applyFont="1" applyAlignment="1">
      <alignment horizontal="justify" vertical="center"/>
    </xf>
    <xf numFmtId="0" fontId="0" fillId="0" borderId="3" xfId="0" applyBorder="1" applyAlignment="1">
      <alignment wrapText="1"/>
    </xf>
    <xf numFmtId="0" fontId="0" fillId="0" borderId="0" xfId="0" applyBorder="1" applyAlignment="1">
      <alignment wrapText="1"/>
    </xf>
    <xf numFmtId="0" fontId="5" fillId="5" borderId="7" xfId="0" applyFont="1" applyFill="1" applyBorder="1" applyAlignment="1">
      <alignment vertical="center" wrapText="1" readingOrder="1"/>
    </xf>
    <xf numFmtId="0" fontId="0" fillId="0" borderId="0" xfId="0" applyBorder="1" applyAlignment="1">
      <alignment wrapText="1"/>
    </xf>
    <xf numFmtId="0" fontId="0" fillId="0" borderId="0" xfId="0" applyFont="1" applyBorder="1" applyAlignment="1">
      <alignment wrapText="1"/>
    </xf>
    <xf numFmtId="0" fontId="23" fillId="0" borderId="0" xfId="0" applyFont="1" applyBorder="1" applyAlignment="1">
      <alignment horizontal="center" vertical="center"/>
    </xf>
    <xf numFmtId="0" fontId="11" fillId="0" borderId="0" xfId="0" applyFont="1"/>
    <xf numFmtId="0" fontId="24" fillId="0" borderId="0" xfId="1" applyFont="1"/>
    <xf numFmtId="0" fontId="12" fillId="0" borderId="0" xfId="0" applyFont="1" applyAlignment="1">
      <alignment horizontal="justify" vertical="center"/>
    </xf>
    <xf numFmtId="0" fontId="6" fillId="0" borderId="4" xfId="0" applyFont="1" applyBorder="1" applyAlignment="1">
      <alignment wrapText="1"/>
    </xf>
    <xf numFmtId="0" fontId="6" fillId="0" borderId="3" xfId="0" applyFont="1" applyBorder="1" applyAlignment="1">
      <alignment wrapText="1"/>
    </xf>
    <xf numFmtId="0" fontId="6" fillId="0" borderId="10" xfId="0" applyFont="1" applyBorder="1" applyAlignment="1">
      <alignment wrapText="1"/>
    </xf>
    <xf numFmtId="0" fontId="6" fillId="0" borderId="1" xfId="0" applyFont="1" applyBorder="1" applyAlignment="1">
      <alignment wrapText="1"/>
    </xf>
    <xf numFmtId="0" fontId="0" fillId="0" borderId="3" xfId="0" applyFont="1" applyBorder="1" applyAlignment="1">
      <alignment wrapText="1"/>
    </xf>
    <xf numFmtId="0" fontId="0" fillId="0" borderId="5" xfId="0" applyFont="1" applyBorder="1" applyAlignment="1">
      <alignment wrapText="1"/>
    </xf>
    <xf numFmtId="0" fontId="0" fillId="0" borderId="1" xfId="0" applyFont="1" applyBorder="1" applyAlignment="1">
      <alignment wrapText="1"/>
    </xf>
    <xf numFmtId="0" fontId="0" fillId="0" borderId="11" xfId="0" applyFont="1" applyBorder="1" applyAlignment="1">
      <alignment wrapText="1"/>
    </xf>
    <xf numFmtId="0" fontId="18" fillId="0" borderId="0" xfId="1" applyAlignment="1">
      <alignment horizontal="justify" vertical="center"/>
    </xf>
    <xf numFmtId="0" fontId="0" fillId="0" borderId="0" xfId="0" applyBorder="1" applyAlignment="1">
      <alignment wrapText="1"/>
    </xf>
    <xf numFmtId="0" fontId="0" fillId="0" borderId="0" xfId="0" applyFont="1" applyFill="1" applyBorder="1" applyAlignment="1">
      <alignment wrapText="1"/>
    </xf>
    <xf numFmtId="0" fontId="4" fillId="6" borderId="12" xfId="0" applyFont="1" applyFill="1" applyBorder="1" applyAlignment="1">
      <alignment horizontal="left" wrapText="1" readingOrder="1"/>
    </xf>
    <xf numFmtId="0" fontId="0" fillId="0" borderId="9" xfId="0" applyBorder="1" applyAlignment="1">
      <alignment horizontal="left" wrapText="1"/>
    </xf>
    <xf numFmtId="0" fontId="0" fillId="0" borderId="0" xfId="0" applyAlignment="1">
      <alignment horizontal="left" wrapText="1"/>
    </xf>
    <xf numFmtId="0" fontId="0" fillId="0" borderId="0" xfId="0" applyBorder="1" applyAlignment="1">
      <alignment horizontal="left" wrapText="1"/>
    </xf>
    <xf numFmtId="0" fontId="0" fillId="0" borderId="9" xfId="0" applyBorder="1" applyAlignment="1">
      <alignment horizontal="left"/>
    </xf>
    <xf numFmtId="164" fontId="0" fillId="0" borderId="0" xfId="0" applyNumberFormat="1" applyBorder="1" applyAlignment="1">
      <alignment wrapText="1"/>
    </xf>
    <xf numFmtId="164" fontId="0" fillId="0" borderId="0" xfId="0" applyNumberFormat="1" applyAlignment="1">
      <alignment wrapText="1"/>
    </xf>
    <xf numFmtId="164" fontId="1" fillId="0" borderId="3" xfId="0" applyNumberFormat="1" applyFont="1" applyBorder="1" applyAlignment="1">
      <alignment wrapText="1"/>
    </xf>
    <xf numFmtId="164" fontId="0" fillId="0" borderId="0" xfId="0" applyNumberFormat="1" applyBorder="1" applyAlignment="1"/>
    <xf numFmtId="0" fontId="4" fillId="6" borderId="12" xfId="0" applyFont="1" applyFill="1" applyBorder="1" applyAlignment="1">
      <alignment horizontal="left" vertical="center" wrapText="1" readingOrder="1"/>
    </xf>
    <xf numFmtId="14" fontId="0" fillId="0" borderId="9" xfId="0" applyNumberFormat="1" applyFont="1" applyBorder="1" applyAlignment="1">
      <alignment horizontal="left" wrapText="1"/>
    </xf>
    <xf numFmtId="0" fontId="0" fillId="0" borderId="9" xfId="0" applyFont="1" applyBorder="1" applyAlignment="1">
      <alignment horizontal="left" wrapText="1"/>
    </xf>
    <xf numFmtId="0" fontId="6" fillId="0" borderId="9" xfId="0" applyFont="1" applyBorder="1" applyAlignment="1">
      <alignment horizontal="left" wrapText="1"/>
    </xf>
    <xf numFmtId="0" fontId="10" fillId="0" borderId="9" xfId="0" applyFont="1" applyFill="1" applyBorder="1" applyAlignment="1">
      <alignment horizontal="left" vertical="center" readingOrder="1"/>
    </xf>
    <xf numFmtId="0" fontId="0" fillId="0" borderId="9" xfId="0" applyBorder="1" applyAlignment="1">
      <alignment horizontal="left" vertical="top"/>
    </xf>
    <xf numFmtId="0" fontId="0" fillId="0" borderId="0" xfId="0" applyFont="1" applyBorder="1" applyAlignment="1">
      <alignment horizontal="left" wrapText="1"/>
    </xf>
    <xf numFmtId="0" fontId="0" fillId="0" borderId="0" xfId="0" applyFont="1" applyAlignment="1">
      <alignment horizontal="left" wrapText="1"/>
    </xf>
    <xf numFmtId="164" fontId="0" fillId="0" borderId="0" xfId="0" applyNumberFormat="1" applyFont="1" applyBorder="1" applyAlignment="1">
      <alignment wrapText="1"/>
    </xf>
    <xf numFmtId="164" fontId="0" fillId="0" borderId="3" xfId="0" applyNumberFormat="1" applyBorder="1" applyAlignment="1">
      <alignment wrapText="1"/>
    </xf>
    <xf numFmtId="164" fontId="10" fillId="0" borderId="0" xfId="0" applyNumberFormat="1" applyFont="1" applyFill="1" applyBorder="1" applyAlignment="1">
      <alignment vertical="center" readingOrder="1"/>
    </xf>
    <xf numFmtId="164" fontId="0" fillId="0" borderId="0" xfId="0" applyNumberFormat="1" applyFont="1" applyAlignment="1">
      <alignment wrapText="1"/>
    </xf>
    <xf numFmtId="0" fontId="0" fillId="0" borderId="0" xfId="0" applyFont="1" applyBorder="1" applyAlignment="1">
      <alignment wrapText="1"/>
    </xf>
    <xf numFmtId="0" fontId="0" fillId="0" borderId="0" xfId="0" applyBorder="1" applyAlignment="1">
      <alignment wrapText="1"/>
    </xf>
    <xf numFmtId="0" fontId="0" fillId="0" borderId="0" xfId="0" applyBorder="1" applyAlignment="1">
      <alignment wrapText="1"/>
    </xf>
    <xf numFmtId="14" fontId="0" fillId="0" borderId="9" xfId="0" applyNumberFormat="1" applyBorder="1" applyAlignment="1">
      <alignment horizontal="left" wrapText="1"/>
    </xf>
    <xf numFmtId="0" fontId="0" fillId="0" borderId="0" xfId="0" applyFont="1" applyBorder="1" applyAlignment="1">
      <alignment wrapText="1"/>
    </xf>
    <xf numFmtId="0" fontId="0" fillId="0" borderId="6" xfId="0" applyFont="1" applyBorder="1" applyAlignment="1">
      <alignment wrapText="1"/>
    </xf>
    <xf numFmtId="164" fontId="0" fillId="0" borderId="0" xfId="0" applyNumberFormat="1" applyFont="1" applyBorder="1" applyAlignment="1">
      <alignment wrapText="1"/>
    </xf>
    <xf numFmtId="0" fontId="0" fillId="0" borderId="0" xfId="0" applyFont="1" applyBorder="1" applyAlignment="1">
      <alignment wrapText="1"/>
    </xf>
    <xf numFmtId="0" fontId="0" fillId="0" borderId="0" xfId="0" applyFont="1" applyBorder="1" applyAlignment="1">
      <alignment wrapText="1"/>
    </xf>
    <xf numFmtId="0" fontId="0" fillId="0" borderId="0" xfId="0" applyBorder="1" applyAlignment="1">
      <alignment wrapText="1"/>
    </xf>
    <xf numFmtId="0" fontId="0" fillId="0" borderId="9" xfId="0" applyFont="1" applyBorder="1"/>
    <xf numFmtId="164" fontId="6" fillId="0" borderId="0" xfId="0" applyNumberFormat="1" applyFont="1" applyBorder="1" applyAlignment="1">
      <alignment wrapText="1"/>
    </xf>
    <xf numFmtId="0" fontId="6" fillId="0" borderId="0" xfId="0" applyFont="1" applyFill="1" applyBorder="1" applyAlignment="1">
      <alignment wrapText="1"/>
    </xf>
    <xf numFmtId="0" fontId="0" fillId="0" borderId="0" xfId="0" applyFont="1" applyBorder="1" applyAlignment="1">
      <alignment wrapText="1"/>
    </xf>
    <xf numFmtId="0" fontId="0" fillId="0" borderId="0" xfId="0" applyFont="1" applyBorder="1" applyAlignment="1">
      <alignment wrapText="1"/>
    </xf>
    <xf numFmtId="0" fontId="0" fillId="0" borderId="0" xfId="0" applyFont="1" applyBorder="1" applyAlignment="1">
      <alignment wrapText="1"/>
    </xf>
    <xf numFmtId="0" fontId="14" fillId="0" borderId="0" xfId="0" applyFont="1" applyBorder="1" applyAlignment="1">
      <alignment wrapText="1"/>
    </xf>
    <xf numFmtId="0" fontId="6" fillId="0" borderId="0" xfId="0" applyFont="1" applyAlignment="1">
      <alignment wrapText="1"/>
    </xf>
    <xf numFmtId="0" fontId="0" fillId="0" borderId="0" xfId="0" applyFont="1" applyBorder="1" applyAlignment="1">
      <alignment wrapText="1"/>
    </xf>
    <xf numFmtId="0" fontId="0" fillId="0" borderId="0" xfId="0" applyFont="1" applyBorder="1" applyAlignment="1">
      <alignment wrapText="1"/>
    </xf>
    <xf numFmtId="0" fontId="0" fillId="0" borderId="0" xfId="0" applyBorder="1" applyAlignment="1">
      <alignment wrapText="1"/>
    </xf>
    <xf numFmtId="0" fontId="3" fillId="3" borderId="3" xfId="0" applyNumberFormat="1" applyFont="1" applyFill="1" applyBorder="1" applyAlignment="1">
      <alignment vertical="center" wrapText="1" readingOrder="1"/>
    </xf>
    <xf numFmtId="0" fontId="1" fillId="0" borderId="3" xfId="0" applyFont="1" applyBorder="1" applyAlignment="1">
      <alignment vertical="center" wrapText="1"/>
    </xf>
    <xf numFmtId="0" fontId="1" fillId="0" borderId="4" xfId="0" applyFont="1" applyBorder="1" applyAlignment="1">
      <alignment horizontal="left" wrapText="1"/>
    </xf>
    <xf numFmtId="0" fontId="0" fillId="0" borderId="0" xfId="0" applyFont="1" applyBorder="1" applyAlignment="1">
      <alignment wrapText="1"/>
    </xf>
    <xf numFmtId="0" fontId="0" fillId="0" borderId="0" xfId="0" applyBorder="1" applyAlignment="1">
      <alignment wrapText="1"/>
    </xf>
    <xf numFmtId="0" fontId="0" fillId="0" borderId="9" xfId="0" applyFont="1" applyBorder="1" applyAlignment="1">
      <alignment wrapText="1"/>
    </xf>
    <xf numFmtId="0" fontId="0" fillId="0" borderId="6" xfId="0" applyFont="1" applyBorder="1" applyAlignment="1">
      <alignment wrapText="1"/>
    </xf>
    <xf numFmtId="0" fontId="0" fillId="0" borderId="0" xfId="0" applyFont="1" applyBorder="1" applyAlignment="1">
      <alignment wrapText="1"/>
    </xf>
    <xf numFmtId="0" fontId="0" fillId="0" borderId="0" xfId="0" applyBorder="1" applyAlignment="1">
      <alignment wrapText="1"/>
    </xf>
    <xf numFmtId="0" fontId="1" fillId="0" borderId="3" xfId="0" applyFont="1" applyBorder="1" applyAlignment="1">
      <alignment wrapText="1"/>
    </xf>
    <xf numFmtId="0" fontId="1" fillId="0" borderId="0" xfId="0" applyFont="1" applyFill="1" applyBorder="1" applyAlignment="1">
      <alignment vertical="center" wrapText="1"/>
    </xf>
    <xf numFmtId="0" fontId="0" fillId="0" borderId="0" xfId="0" applyFill="1" applyBorder="1" applyAlignment="1"/>
    <xf numFmtId="0" fontId="1" fillId="0" borderId="0" xfId="0" applyFont="1" applyFill="1" applyBorder="1" applyAlignment="1">
      <alignment wrapText="1"/>
    </xf>
    <xf numFmtId="0" fontId="6" fillId="0" borderId="0" xfId="0" applyFont="1" applyFill="1" applyBorder="1"/>
    <xf numFmtId="0" fontId="0" fillId="0" borderId="0" xfId="0" applyFont="1" applyFill="1" applyBorder="1" applyAlignment="1">
      <alignment horizontal="justify" vertical="center"/>
    </xf>
    <xf numFmtId="14" fontId="0" fillId="0" borderId="4" xfId="0" applyNumberFormat="1" applyBorder="1" applyAlignment="1">
      <alignment horizontal="left" wrapText="1"/>
    </xf>
    <xf numFmtId="14" fontId="0" fillId="0" borderId="10" xfId="0" applyNumberFormat="1" applyFont="1" applyBorder="1" applyAlignment="1">
      <alignment horizontal="left" wrapText="1"/>
    </xf>
    <xf numFmtId="164" fontId="0" fillId="0" borderId="1" xfId="0" applyNumberFormat="1" applyFont="1" applyBorder="1" applyAlignment="1">
      <alignment wrapText="1"/>
    </xf>
    <xf numFmtId="14" fontId="0" fillId="0" borderId="4" xfId="0" applyNumberFormat="1" applyFont="1" applyBorder="1" applyAlignment="1">
      <alignment horizontal="left" wrapText="1"/>
    </xf>
    <xf numFmtId="164" fontId="0" fillId="0" borderId="3" xfId="0" applyNumberFormat="1" applyFont="1" applyBorder="1" applyAlignment="1">
      <alignment wrapText="1"/>
    </xf>
    <xf numFmtId="14" fontId="0" fillId="0" borderId="7" xfId="0" applyNumberFormat="1" applyBorder="1" applyAlignment="1">
      <alignment horizontal="left" wrapText="1"/>
    </xf>
    <xf numFmtId="164" fontId="0" fillId="0" borderId="2" xfId="0" applyNumberFormat="1" applyBorder="1" applyAlignment="1">
      <alignment wrapText="1"/>
    </xf>
    <xf numFmtId="0" fontId="0" fillId="0" borderId="2" xfId="0" applyBorder="1" applyAlignment="1">
      <alignment wrapText="1"/>
    </xf>
    <xf numFmtId="0" fontId="0" fillId="0" borderId="8" xfId="0" applyBorder="1" applyAlignment="1">
      <alignment horizontal="center" vertical="center" wrapText="1"/>
    </xf>
    <xf numFmtId="0" fontId="0" fillId="0" borderId="4" xfId="0" applyFont="1" applyBorder="1" applyAlignment="1">
      <alignment horizontal="left" wrapText="1"/>
    </xf>
    <xf numFmtId="0" fontId="0" fillId="0" borderId="5" xfId="0" applyFont="1" applyBorder="1" applyAlignment="1">
      <alignment horizontal="center" vertical="center" wrapText="1"/>
    </xf>
    <xf numFmtId="164" fontId="0" fillId="0" borderId="3" xfId="0" applyNumberFormat="1" applyFont="1" applyFill="1" applyBorder="1" applyAlignment="1">
      <alignment wrapText="1"/>
    </xf>
    <xf numFmtId="0" fontId="0" fillId="0" borderId="5" xfId="0" applyFont="1" applyBorder="1" applyAlignment="1">
      <alignment horizontal="center" wrapText="1"/>
    </xf>
    <xf numFmtId="164" fontId="1" fillId="0" borderId="3" xfId="0" applyNumberFormat="1" applyFont="1" applyBorder="1" applyAlignment="1">
      <alignment horizontal="center" vertical="center" wrapText="1"/>
    </xf>
    <xf numFmtId="0" fontId="0" fillId="0" borderId="0" xfId="0" applyFont="1" applyBorder="1" applyAlignment="1">
      <alignment wrapText="1"/>
    </xf>
    <xf numFmtId="0" fontId="0" fillId="0" borderId="0" xfId="0" applyBorder="1" applyAlignment="1">
      <alignment wrapText="1"/>
    </xf>
    <xf numFmtId="14" fontId="0" fillId="0" borderId="12" xfId="0" applyNumberFormat="1" applyFont="1" applyBorder="1" applyAlignment="1">
      <alignment horizontal="left" wrapText="1"/>
    </xf>
    <xf numFmtId="164" fontId="0" fillId="0" borderId="12" xfId="0" applyNumberFormat="1" applyFont="1" applyBorder="1" applyAlignment="1">
      <alignment wrapText="1"/>
    </xf>
    <xf numFmtId="0" fontId="0" fillId="0" borderId="12" xfId="0" applyFont="1" applyBorder="1" applyAlignment="1">
      <alignment wrapText="1"/>
    </xf>
    <xf numFmtId="0" fontId="1" fillId="0" borderId="12" xfId="0" applyFont="1" applyBorder="1" applyAlignment="1">
      <alignment horizontal="left" wrapText="1"/>
    </xf>
    <xf numFmtId="164" fontId="1" fillId="0" borderId="12" xfId="0" applyNumberFormat="1" applyFont="1" applyBorder="1" applyAlignment="1">
      <alignment horizontal="center" vertical="center" wrapText="1"/>
    </xf>
    <xf numFmtId="0" fontId="1" fillId="0" borderId="12" xfId="0" applyFont="1" applyBorder="1" applyAlignment="1">
      <alignment vertical="center" wrapText="1"/>
    </xf>
    <xf numFmtId="14" fontId="0" fillId="0" borderId="7" xfId="0" applyNumberFormat="1" applyFont="1" applyBorder="1" applyAlignment="1">
      <alignment horizontal="left" wrapText="1"/>
    </xf>
    <xf numFmtId="164" fontId="0" fillId="0" borderId="2" xfId="0" applyNumberFormat="1" applyFont="1" applyBorder="1" applyAlignment="1">
      <alignment wrapText="1"/>
    </xf>
    <xf numFmtId="0" fontId="0" fillId="0" borderId="8" xfId="0" applyFont="1" applyBorder="1" applyAlignment="1">
      <alignment horizontal="center" vertical="center" wrapText="1"/>
    </xf>
    <xf numFmtId="0" fontId="0" fillId="0" borderId="7" xfId="0" applyFont="1" applyBorder="1" applyAlignment="1">
      <alignment horizontal="left" wrapText="1"/>
    </xf>
    <xf numFmtId="0" fontId="0" fillId="5" borderId="2" xfId="0" applyFill="1" applyBorder="1" applyAlignment="1">
      <alignment vertical="center"/>
    </xf>
    <xf numFmtId="0" fontId="0" fillId="5" borderId="8" xfId="0" applyFill="1" applyBorder="1" applyAlignment="1">
      <alignment vertical="center"/>
    </xf>
    <xf numFmtId="0" fontId="1" fillId="7" borderId="7" xfId="0" applyFont="1" applyFill="1" applyBorder="1" applyAlignment="1">
      <alignment horizontal="left" vertical="center" wrapText="1"/>
    </xf>
    <xf numFmtId="0" fontId="0" fillId="0" borderId="0" xfId="0" applyBorder="1" applyAlignment="1">
      <alignment vertical="center" wrapText="1"/>
    </xf>
    <xf numFmtId="0" fontId="0" fillId="5" borderId="2" xfId="0" applyFont="1" applyFill="1" applyBorder="1" applyAlignment="1"/>
    <xf numFmtId="0" fontId="0" fillId="5" borderId="2" xfId="0" applyFont="1" applyFill="1" applyBorder="1" applyAlignment="1">
      <alignment wrapText="1"/>
    </xf>
    <xf numFmtId="0" fontId="0" fillId="5" borderId="8" xfId="0" applyFont="1" applyFill="1" applyBorder="1" applyAlignment="1">
      <alignment wrapText="1"/>
    </xf>
    <xf numFmtId="0" fontId="6" fillId="0" borderId="6" xfId="0" applyFont="1" applyBorder="1" applyAlignment="1">
      <alignment wrapText="1"/>
    </xf>
    <xf numFmtId="164" fontId="6" fillId="0" borderId="1" xfId="0" applyNumberFormat="1" applyFont="1" applyBorder="1" applyAlignment="1">
      <alignment wrapText="1"/>
    </xf>
    <xf numFmtId="0" fontId="6" fillId="0" borderId="11" xfId="0" applyFont="1" applyBorder="1" applyAlignment="1">
      <alignment wrapText="1"/>
    </xf>
    <xf numFmtId="0" fontId="6" fillId="5" borderId="2" xfId="0" applyFont="1" applyFill="1" applyBorder="1" applyAlignment="1">
      <alignment vertical="center" wrapText="1"/>
    </xf>
    <xf numFmtId="0" fontId="6" fillId="0" borderId="5" xfId="0" applyFont="1" applyBorder="1" applyAlignment="1">
      <alignment wrapText="1"/>
    </xf>
    <xf numFmtId="0" fontId="6" fillId="0" borderId="6" xfId="0" applyFont="1" applyBorder="1"/>
    <xf numFmtId="0" fontId="0" fillId="0" borderId="6" xfId="0" applyFont="1" applyBorder="1" applyAlignment="1">
      <alignment wrapText="1"/>
    </xf>
    <xf numFmtId="14" fontId="0" fillId="0" borderId="12" xfId="0" applyNumberFormat="1" applyFont="1" applyBorder="1" applyAlignment="1">
      <alignment horizontal="left" vertical="center" wrapText="1"/>
    </xf>
    <xf numFmtId="164" fontId="0" fillId="0" borderId="12" xfId="0" applyNumberFormat="1" applyFont="1" applyBorder="1" applyAlignment="1">
      <alignment vertical="center" wrapText="1"/>
    </xf>
    <xf numFmtId="0" fontId="0" fillId="0" borderId="12" xfId="0" applyFont="1" applyBorder="1" applyAlignment="1">
      <alignment vertical="center" wrapText="1"/>
    </xf>
    <xf numFmtId="0" fontId="0" fillId="0" borderId="0" xfId="0" applyFont="1" applyAlignment="1">
      <alignment vertical="center"/>
    </xf>
    <xf numFmtId="0" fontId="0" fillId="0" borderId="9" xfId="0" applyFont="1" applyBorder="1" applyAlignment="1">
      <alignment vertical="center" wrapText="1"/>
    </xf>
    <xf numFmtId="0" fontId="0" fillId="0" borderId="0" xfId="0" applyFont="1" applyAlignment="1">
      <alignment vertical="center" wrapText="1"/>
    </xf>
    <xf numFmtId="14" fontId="6" fillId="0" borderId="4" xfId="0" applyNumberFormat="1" applyFont="1" applyBorder="1" applyAlignment="1">
      <alignment horizontal="left" wrapText="1"/>
    </xf>
    <xf numFmtId="164" fontId="6" fillId="0" borderId="3" xfId="0" applyNumberFormat="1" applyFont="1" applyBorder="1" applyAlignment="1">
      <alignment wrapText="1"/>
    </xf>
    <xf numFmtId="0" fontId="0" fillId="0" borderId="10" xfId="0" applyFont="1" applyBorder="1" applyAlignment="1">
      <alignment horizontal="left" wrapText="1"/>
    </xf>
    <xf numFmtId="0" fontId="5" fillId="5" borderId="10" xfId="0" applyFont="1" applyFill="1" applyBorder="1" applyAlignment="1">
      <alignment horizontal="left" vertical="center" readingOrder="1"/>
    </xf>
    <xf numFmtId="44" fontId="1" fillId="7" borderId="8" xfId="2" applyFont="1" applyFill="1" applyBorder="1" applyAlignment="1">
      <alignment vertical="center"/>
    </xf>
    <xf numFmtId="44" fontId="0" fillId="0" borderId="0" xfId="2" applyFont="1" applyBorder="1" applyAlignment="1">
      <alignment wrapText="1"/>
    </xf>
    <xf numFmtId="44" fontId="6" fillId="7" borderId="8" xfId="2" applyFont="1" applyFill="1" applyBorder="1" applyAlignment="1">
      <alignment vertical="center" wrapText="1"/>
    </xf>
    <xf numFmtId="44" fontId="1" fillId="5" borderId="1" xfId="2" applyFont="1" applyFill="1" applyBorder="1" applyAlignment="1">
      <alignment vertical="center"/>
    </xf>
    <xf numFmtId="44" fontId="5" fillId="5" borderId="2" xfId="2" applyFont="1" applyFill="1" applyBorder="1" applyAlignment="1">
      <alignment vertical="center" wrapText="1" readingOrder="1"/>
    </xf>
    <xf numFmtId="44" fontId="6" fillId="5" borderId="2" xfId="2" applyFont="1" applyFill="1" applyBorder="1" applyAlignment="1">
      <alignment vertical="center" wrapText="1"/>
    </xf>
    <xf numFmtId="0" fontId="1" fillId="7" borderId="4" xfId="0" applyFont="1" applyFill="1" applyBorder="1" applyAlignment="1">
      <alignment horizontal="left" vertical="center" wrapText="1"/>
    </xf>
    <xf numFmtId="44" fontId="6" fillId="7" borderId="5" xfId="2" applyFont="1" applyFill="1" applyBorder="1" applyAlignment="1">
      <alignment vertical="center" wrapText="1"/>
    </xf>
    <xf numFmtId="0" fontId="1" fillId="0" borderId="13" xfId="0" applyFont="1" applyBorder="1" applyAlignment="1">
      <alignment horizontal="left" wrapText="1"/>
    </xf>
    <xf numFmtId="164" fontId="1" fillId="0" borderId="13" xfId="0" applyNumberFormat="1" applyFont="1" applyBorder="1" applyAlignment="1">
      <alignment horizontal="center" vertical="center" wrapText="1"/>
    </xf>
    <xf numFmtId="0" fontId="1" fillId="0" borderId="13" xfId="0" applyFont="1" applyBorder="1" applyAlignment="1">
      <alignment vertical="center" wrapText="1"/>
    </xf>
    <xf numFmtId="0" fontId="3" fillId="9" borderId="8" xfId="0" applyFont="1" applyFill="1" applyBorder="1" applyAlignment="1">
      <alignment vertical="center" readingOrder="1"/>
    </xf>
    <xf numFmtId="0" fontId="6" fillId="0" borderId="4" xfId="0" applyFont="1" applyBorder="1" applyAlignment="1">
      <alignment horizontal="left" wrapText="1"/>
    </xf>
    <xf numFmtId="0" fontId="0" fillId="0" borderId="5" xfId="0" applyBorder="1" applyAlignment="1">
      <alignment wrapText="1"/>
    </xf>
    <xf numFmtId="0" fontId="0" fillId="0" borderId="1" xfId="0" applyFont="1" applyBorder="1" applyAlignment="1">
      <alignment horizontal="justify" vertical="center"/>
    </xf>
    <xf numFmtId="0" fontId="0" fillId="0" borderId="11" xfId="0" applyFont="1" applyBorder="1" applyAlignment="1">
      <alignment horizontal="justify" vertical="center"/>
    </xf>
    <xf numFmtId="0" fontId="0" fillId="0" borderId="4" xfId="0" applyFont="1" applyBorder="1" applyAlignment="1">
      <alignment wrapText="1"/>
    </xf>
    <xf numFmtId="0" fontId="6" fillId="0" borderId="14" xfId="0" applyFont="1" applyBorder="1" applyAlignment="1">
      <alignment wrapText="1"/>
    </xf>
    <xf numFmtId="0" fontId="5" fillId="2" borderId="4" xfId="0" applyFont="1" applyFill="1" applyBorder="1" applyAlignment="1">
      <alignment horizontal="left" vertical="center" wrapText="1" readingOrder="1"/>
    </xf>
    <xf numFmtId="44" fontId="5" fillId="2" borderId="3" xfId="2" applyFont="1" applyFill="1" applyBorder="1" applyAlignment="1">
      <alignment vertical="center" wrapText="1" readingOrder="1"/>
    </xf>
    <xf numFmtId="0" fontId="0" fillId="2" borderId="3" xfId="0" applyFont="1" applyFill="1" applyBorder="1" applyAlignment="1"/>
    <xf numFmtId="0" fontId="0" fillId="2" borderId="3" xfId="0" applyFont="1" applyFill="1" applyBorder="1" applyAlignment="1">
      <alignment wrapText="1"/>
    </xf>
    <xf numFmtId="0" fontId="0" fillId="2" borderId="5" xfId="0" applyFont="1" applyFill="1" applyBorder="1" applyAlignment="1">
      <alignment wrapText="1"/>
    </xf>
    <xf numFmtId="0" fontId="0" fillId="0" borderId="0" xfId="0" applyFont="1" applyBorder="1" applyAlignment="1">
      <alignment horizontal="left"/>
    </xf>
    <xf numFmtId="164" fontId="0" fillId="0" borderId="0" xfId="0" applyNumberFormat="1" applyBorder="1" applyAlignment="1">
      <alignment vertical="top" wrapText="1"/>
    </xf>
    <xf numFmtId="0" fontId="1" fillId="0" borderId="13" xfId="0" applyFont="1" applyBorder="1" applyAlignment="1">
      <alignment wrapText="1"/>
    </xf>
    <xf numFmtId="0" fontId="1" fillId="0" borderId="13" xfId="0" applyFont="1" applyBorder="1" applyAlignment="1">
      <alignment horizontal="center" vertical="center" wrapText="1"/>
    </xf>
    <xf numFmtId="0" fontId="3" fillId="4" borderId="2" xfId="0" applyFont="1" applyFill="1" applyBorder="1" applyAlignment="1">
      <alignment wrapText="1"/>
    </xf>
    <xf numFmtId="0" fontId="3" fillId="4" borderId="8" xfId="0" applyFont="1" applyFill="1" applyBorder="1" applyAlignment="1">
      <alignment wrapText="1"/>
    </xf>
    <xf numFmtId="0" fontId="1" fillId="0" borderId="13" xfId="0" applyFont="1" applyBorder="1" applyAlignment="1">
      <alignment horizontal="right" wrapText="1"/>
    </xf>
    <xf numFmtId="0" fontId="3" fillId="4" borderId="7" xfId="0" applyFont="1" applyFill="1" applyBorder="1" applyAlignment="1">
      <alignment vertical="center" wrapText="1" readingOrder="1"/>
    </xf>
    <xf numFmtId="164" fontId="1" fillId="0" borderId="13" xfId="0" applyNumberFormat="1" applyFont="1" applyBorder="1" applyAlignment="1">
      <alignment horizont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23" fillId="0" borderId="12" xfId="0" applyFont="1" applyBorder="1" applyAlignment="1">
      <alignment horizontal="center" vertical="center"/>
    </xf>
    <xf numFmtId="0" fontId="0" fillId="0" borderId="9" xfId="0" applyFont="1" applyBorder="1" applyAlignment="1">
      <alignment wrapText="1"/>
    </xf>
    <xf numFmtId="0" fontId="0" fillId="0" borderId="0" xfId="0" applyFont="1" applyBorder="1" applyAlignment="1">
      <alignment wrapText="1"/>
    </xf>
    <xf numFmtId="0" fontId="0" fillId="0" borderId="9" xfId="0" applyBorder="1" applyAlignment="1">
      <alignment wrapText="1"/>
    </xf>
    <xf numFmtId="0" fontId="0" fillId="0" borderId="0" xfId="0" applyBorder="1" applyAlignment="1">
      <alignment wrapText="1"/>
    </xf>
    <xf numFmtId="0" fontId="3" fillId="4" borderId="12" xfId="0" applyFont="1" applyFill="1" applyBorder="1" applyAlignment="1">
      <alignment vertical="center" wrapText="1" readingOrder="1"/>
    </xf>
    <xf numFmtId="0" fontId="7" fillId="0" borderId="12" xfId="0" applyFont="1" applyBorder="1" applyAlignment="1">
      <alignment vertical="center" wrapText="1" readingOrder="1"/>
    </xf>
    <xf numFmtId="0" fontId="8" fillId="0" borderId="12" xfId="0" applyFont="1" applyBorder="1" applyAlignment="1">
      <alignment vertical="center" wrapText="1" readingOrder="1"/>
    </xf>
    <xf numFmtId="0" fontId="15" fillId="0" borderId="12" xfId="0" applyFont="1" applyFill="1" applyBorder="1" applyAlignment="1">
      <alignment horizontal="center" vertical="center" wrapText="1" readingOrder="1"/>
    </xf>
    <xf numFmtId="0" fontId="16" fillId="0" borderId="12" xfId="0" applyFont="1" applyBorder="1" applyAlignment="1">
      <alignment horizontal="center" vertical="center" wrapText="1" readingOrder="1"/>
    </xf>
    <xf numFmtId="0" fontId="9" fillId="0" borderId="12" xfId="0" applyFont="1" applyFill="1" applyBorder="1" applyAlignment="1">
      <alignment horizontal="center" vertical="center" wrapText="1" readingOrder="1"/>
    </xf>
    <xf numFmtId="0" fontId="1" fillId="0" borderId="12" xfId="0" applyFont="1" applyFill="1" applyBorder="1" applyAlignment="1">
      <alignment horizontal="center" vertical="center" wrapText="1" readingOrder="1"/>
    </xf>
    <xf numFmtId="0" fontId="3" fillId="3" borderId="7" xfId="0" applyNumberFormat="1" applyFont="1" applyFill="1" applyBorder="1" applyAlignment="1">
      <alignment vertical="center" wrapText="1" readingOrder="1"/>
    </xf>
    <xf numFmtId="0" fontId="3" fillId="3" borderId="2" xfId="0" applyNumberFormat="1" applyFont="1" applyFill="1" applyBorder="1" applyAlignment="1">
      <alignment vertical="center" wrapText="1" readingOrder="1"/>
    </xf>
    <xf numFmtId="0" fontId="3" fillId="9" borderId="7" xfId="0" applyFont="1" applyFill="1" applyBorder="1" applyAlignment="1">
      <alignment vertical="center" readingOrder="1"/>
    </xf>
    <xf numFmtId="0" fontId="3" fillId="9" borderId="2" xfId="0" applyFont="1" applyFill="1" applyBorder="1" applyAlignment="1">
      <alignment vertical="center" readingOrder="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1" xfId="0" applyBorder="1" applyAlignment="1">
      <alignment horizontal="center" vertical="center" wrapText="1"/>
    </xf>
    <xf numFmtId="0" fontId="0" fillId="0" borderId="11" xfId="0" applyFont="1" applyBorder="1" applyAlignment="1">
      <alignment horizontal="center" vertical="center" wrapText="1"/>
    </xf>
    <xf numFmtId="0" fontId="0" fillId="0" borderId="10" xfId="0" applyFont="1" applyBorder="1" applyAlignment="1">
      <alignment horizontal="justify" vertical="center"/>
    </xf>
    <xf numFmtId="0" fontId="0" fillId="0" borderId="1" xfId="0" applyFont="1" applyBorder="1" applyAlignment="1">
      <alignment horizontal="justify" vertical="center"/>
    </xf>
    <xf numFmtId="0" fontId="0" fillId="0" borderId="11" xfId="0" applyFont="1" applyBorder="1" applyAlignment="1">
      <alignment horizontal="justify" vertical="center"/>
    </xf>
    <xf numFmtId="0" fontId="3" fillId="4" borderId="7" xfId="0" applyFont="1" applyFill="1" applyBorder="1" applyAlignment="1">
      <alignment horizontal="left" vertical="center" wrapText="1" readingOrder="1"/>
    </xf>
    <xf numFmtId="0" fontId="3" fillId="4" borderId="2" xfId="0" applyFont="1" applyFill="1" applyBorder="1" applyAlignment="1">
      <alignment horizontal="left" vertical="center" wrapText="1" readingOrder="1"/>
    </xf>
    <xf numFmtId="0" fontId="9" fillId="0" borderId="14"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6" fillId="0" borderId="12" xfId="0" applyFont="1" applyBorder="1" applyAlignment="1">
      <alignment horizontal="center" vertical="center" wrapText="1"/>
    </xf>
    <xf numFmtId="0" fontId="0" fillId="0" borderId="9" xfId="0" applyFont="1" applyBorder="1" applyAlignment="1">
      <alignment vertical="top" wrapText="1"/>
    </xf>
    <xf numFmtId="0" fontId="0" fillId="0" borderId="0" xfId="0" applyFont="1" applyBorder="1" applyAlignment="1">
      <alignment vertical="top" wrapText="1"/>
    </xf>
    <xf numFmtId="0" fontId="0" fillId="0" borderId="6" xfId="0" applyFont="1" applyBorder="1" applyAlignment="1">
      <alignment vertical="top" wrapText="1"/>
    </xf>
    <xf numFmtId="0" fontId="0" fillId="0" borderId="9" xfId="0" applyFont="1" applyBorder="1" applyAlignment="1"/>
    <xf numFmtId="0" fontId="0" fillId="0" borderId="0" xfId="0" applyFont="1" applyBorder="1" applyAlignment="1"/>
    <xf numFmtId="0" fontId="0" fillId="0" borderId="6" xfId="0" applyFont="1" applyBorder="1" applyAlignment="1"/>
    <xf numFmtId="0" fontId="0" fillId="0" borderId="6" xfId="0" applyFont="1" applyBorder="1" applyAlignment="1">
      <alignment wrapText="1"/>
    </xf>
    <xf numFmtId="0" fontId="13" fillId="0" borderId="14" xfId="0" applyFont="1" applyBorder="1" applyAlignment="1">
      <alignment horizontal="center" vertical="center"/>
    </xf>
    <xf numFmtId="0" fontId="3" fillId="4" borderId="7" xfId="0" applyFont="1" applyFill="1" applyBorder="1" applyAlignment="1">
      <alignment vertical="center" wrapText="1" readingOrder="1"/>
    </xf>
    <xf numFmtId="0" fontId="3" fillId="4" borderId="2" xfId="0" applyFont="1" applyFill="1" applyBorder="1" applyAlignment="1">
      <alignment vertical="center" wrapText="1" readingOrder="1"/>
    </xf>
    <xf numFmtId="0" fontId="17" fillId="0" borderId="14" xfId="0" applyFont="1" applyBorder="1" applyAlignment="1">
      <alignment horizontal="center" vertical="center"/>
    </xf>
  </cellXfs>
  <cellStyles count="3">
    <cellStyle name="Currency" xfId="2" builtinId="4"/>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FF99"/>
      <color rgb="FF00FF00"/>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eexpenses@ssc.govt.nz" TargetMode="External"/><Relationship Id="rId2" Type="http://schemas.openxmlformats.org/officeDocument/2006/relationships/hyperlink" Target="http://www.ssc.govt.nz/ce-expenses-disclosure" TargetMode="External"/><Relationship Id="rId1" Type="http://schemas.openxmlformats.org/officeDocument/2006/relationships/hyperlink" Target="http://www.data.govt.nz/" TargetMode="External"/><Relationship Id="rId5" Type="http://schemas.openxmlformats.org/officeDocument/2006/relationships/printerSettings" Target="../printerSettings/printerSettings1.bin"/><Relationship Id="rId4" Type="http://schemas.openxmlformats.org/officeDocument/2006/relationships/hyperlink" Target="mailto:info@data.govt.n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zoomScaleNormal="100" workbookViewId="0">
      <selection activeCell="A13" sqref="A13"/>
    </sheetView>
  </sheetViews>
  <sheetFormatPr defaultColWidth="8.7109375" defaultRowHeight="14.25" x14ac:dyDescent="0.2"/>
  <cols>
    <col min="1" max="1" width="219.28515625" style="27" customWidth="1"/>
    <col min="2" max="16384" width="8.7109375" style="27"/>
  </cols>
  <sheetData>
    <row r="1" spans="1:1" ht="15" x14ac:dyDescent="0.2">
      <c r="A1" s="34" t="s">
        <v>45</v>
      </c>
    </row>
    <row r="2" spans="1:1" x14ac:dyDescent="0.2">
      <c r="A2" s="27" t="s">
        <v>67</v>
      </c>
    </row>
    <row r="3" spans="1:1" ht="15" x14ac:dyDescent="0.2">
      <c r="A3" s="28" t="s">
        <v>57</v>
      </c>
    </row>
    <row r="4" spans="1:1" x14ac:dyDescent="0.2">
      <c r="A4" s="45" t="s">
        <v>69</v>
      </c>
    </row>
    <row r="5" spans="1:1" x14ac:dyDescent="0.2">
      <c r="A5" s="45" t="s">
        <v>68</v>
      </c>
    </row>
    <row r="6" spans="1:1" x14ac:dyDescent="0.2">
      <c r="A6" s="45" t="s">
        <v>70</v>
      </c>
    </row>
    <row r="7" spans="1:1" x14ac:dyDescent="0.2">
      <c r="A7" s="45" t="s">
        <v>71</v>
      </c>
    </row>
    <row r="8" spans="1:1" ht="15" x14ac:dyDescent="0.2">
      <c r="A8" s="28" t="s">
        <v>72</v>
      </c>
    </row>
    <row r="9" spans="1:1" x14ac:dyDescent="0.2">
      <c r="A9" s="32" t="s">
        <v>73</v>
      </c>
    </row>
    <row r="10" spans="1:1" x14ac:dyDescent="0.2">
      <c r="A10" s="45" t="s">
        <v>74</v>
      </c>
    </row>
    <row r="11" spans="1:1" x14ac:dyDescent="0.2">
      <c r="A11" s="45" t="s">
        <v>75</v>
      </c>
    </row>
    <row r="12" spans="1:1" x14ac:dyDescent="0.2">
      <c r="A12" s="29" t="s">
        <v>76</v>
      </c>
    </row>
    <row r="13" spans="1:1" x14ac:dyDescent="0.2">
      <c r="A13" s="45" t="s">
        <v>77</v>
      </c>
    </row>
    <row r="14" spans="1:1" ht="15" x14ac:dyDescent="0.2">
      <c r="A14" s="28" t="s">
        <v>78</v>
      </c>
    </row>
    <row r="15" spans="1:1" x14ac:dyDescent="0.2">
      <c r="A15" s="29" t="s">
        <v>39</v>
      </c>
    </row>
    <row r="16" spans="1:1" x14ac:dyDescent="0.2">
      <c r="A16" s="30" t="s">
        <v>89</v>
      </c>
    </row>
    <row r="17" spans="1:1" x14ac:dyDescent="0.2">
      <c r="A17" s="26" t="s">
        <v>90</v>
      </c>
    </row>
    <row r="18" spans="1:1" ht="15" x14ac:dyDescent="0.2">
      <c r="A18" s="47" t="s">
        <v>41</v>
      </c>
    </row>
    <row r="19" spans="1:1" x14ac:dyDescent="0.2">
      <c r="A19" s="26" t="s">
        <v>91</v>
      </c>
    </row>
    <row r="20" spans="1:1" ht="15" x14ac:dyDescent="0.2">
      <c r="A20" s="28" t="s">
        <v>79</v>
      </c>
    </row>
    <row r="21" spans="1:1" ht="15" x14ac:dyDescent="0.2">
      <c r="A21" s="28" t="s">
        <v>80</v>
      </c>
    </row>
    <row r="22" spans="1:1" ht="29.25" x14ac:dyDescent="0.2">
      <c r="A22" s="29" t="s">
        <v>92</v>
      </c>
    </row>
    <row r="23" spans="1:1" x14ac:dyDescent="0.2">
      <c r="A23" s="29" t="s">
        <v>81</v>
      </c>
    </row>
    <row r="24" spans="1:1" ht="28.5" x14ac:dyDescent="0.2">
      <c r="A24" s="29" t="s">
        <v>93</v>
      </c>
    </row>
    <row r="25" spans="1:1" ht="28.5" x14ac:dyDescent="0.2">
      <c r="A25" s="29" t="s">
        <v>94</v>
      </c>
    </row>
    <row r="26" spans="1:1" x14ac:dyDescent="0.2">
      <c r="A26" s="29" t="s">
        <v>82</v>
      </c>
    </row>
    <row r="27" spans="1:1" ht="28.5" customHeight="1" x14ac:dyDescent="0.2">
      <c r="A27" s="29" t="s">
        <v>83</v>
      </c>
    </row>
    <row r="28" spans="1:1" ht="28.5" x14ac:dyDescent="0.2">
      <c r="A28" s="32" t="s">
        <v>84</v>
      </c>
    </row>
    <row r="29" spans="1:1" ht="15" x14ac:dyDescent="0.2">
      <c r="A29" s="28" t="s">
        <v>15</v>
      </c>
    </row>
    <row r="30" spans="1:1" ht="14.25" customHeight="1" x14ac:dyDescent="0.2">
      <c r="A30" s="30" t="s">
        <v>42</v>
      </c>
    </row>
    <row r="31" spans="1:1" ht="14.25" customHeight="1" x14ac:dyDescent="0.2">
      <c r="A31" s="30" t="s">
        <v>95</v>
      </c>
    </row>
    <row r="32" spans="1:1" x14ac:dyDescent="0.2">
      <c r="A32" s="26" t="s">
        <v>96</v>
      </c>
    </row>
    <row r="33" spans="1:1" x14ac:dyDescent="0.2">
      <c r="A33" s="26" t="s">
        <v>85</v>
      </c>
    </row>
    <row r="34" spans="1:1" ht="28.5" x14ac:dyDescent="0.2">
      <c r="A34" s="38" t="s">
        <v>86</v>
      </c>
    </row>
    <row r="35" spans="1:1" x14ac:dyDescent="0.2">
      <c r="A35" s="31" t="s">
        <v>43</v>
      </c>
    </row>
    <row r="36" spans="1:1" ht="28.5" customHeight="1" x14ac:dyDescent="0.2">
      <c r="A36" s="29" t="s">
        <v>87</v>
      </c>
    </row>
    <row r="37" spans="1:1" x14ac:dyDescent="0.2">
      <c r="A37" s="38" t="s">
        <v>44</v>
      </c>
    </row>
    <row r="38" spans="1:1" x14ac:dyDescent="0.2">
      <c r="A38" s="26" t="s">
        <v>97</v>
      </c>
    </row>
    <row r="39" spans="1:1" x14ac:dyDescent="0.2">
      <c r="A39" s="26" t="s">
        <v>88</v>
      </c>
    </row>
    <row r="40" spans="1:1" x14ac:dyDescent="0.2">
      <c r="A40" s="26"/>
    </row>
    <row r="41" spans="1:1" x14ac:dyDescent="0.2">
      <c r="A41" s="26"/>
    </row>
    <row r="42" spans="1:1" x14ac:dyDescent="0.2">
      <c r="A42" s="46" t="s">
        <v>40</v>
      </c>
    </row>
    <row r="43" spans="1:1" x14ac:dyDescent="0.2">
      <c r="A43" s="56" t="s">
        <v>98</v>
      </c>
    </row>
    <row r="48" spans="1:1" x14ac:dyDescent="0.2">
      <c r="A48" s="33"/>
    </row>
  </sheetData>
  <hyperlinks>
    <hyperlink ref="A16" r:id="rId1" display="http://www.data.govt.nz/"/>
    <hyperlink ref="A30" r:id="rId2" display="http://www.ssc.govt.nz/ce-expenses-disclosure"/>
    <hyperlink ref="A42" r:id="rId3" display="mailto:ceexpenses@ssc.govt.nz"/>
    <hyperlink ref="A43" r:id="rId4" display="mailto:info@data.govt.nz"/>
  </hyperlinks>
  <pageMargins left="0.7" right="0.7" top="0.75" bottom="0.75" header="0.3" footer="0.3"/>
  <pageSetup paperSize="8"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5"/>
  <sheetViews>
    <sheetView tabSelected="1" zoomScaleNormal="100" zoomScaleSheetLayoutView="110" workbookViewId="0">
      <selection activeCell="H6" sqref="H6"/>
    </sheetView>
  </sheetViews>
  <sheetFormatPr defaultColWidth="9.140625" defaultRowHeight="12.75" x14ac:dyDescent="0.2"/>
  <cols>
    <col min="1" max="1" width="23.5703125" style="61" customWidth="1"/>
    <col min="2" max="2" width="18.42578125" style="65" customWidth="1"/>
    <col min="3" max="3" width="33.7109375" style="1" customWidth="1"/>
    <col min="4" max="6" width="27.5703125" style="1" customWidth="1"/>
    <col min="7" max="7" width="9.140625" style="1"/>
    <col min="8" max="8" width="14.85546875" style="1" customWidth="1"/>
    <col min="9" max="16384" width="9.140625" style="1"/>
  </cols>
  <sheetData>
    <row r="1" spans="1:8" ht="36" customHeight="1" x14ac:dyDescent="0.2">
      <c r="A1" s="200" t="s">
        <v>25</v>
      </c>
      <c r="B1" s="200"/>
      <c r="C1" s="200"/>
      <c r="D1" s="200"/>
    </row>
    <row r="2" spans="1:8" ht="36" customHeight="1" x14ac:dyDescent="0.25">
      <c r="A2" s="59" t="s">
        <v>8</v>
      </c>
      <c r="B2" s="206" t="s">
        <v>99</v>
      </c>
      <c r="C2" s="206"/>
      <c r="D2" s="206"/>
    </row>
    <row r="3" spans="1:8" ht="36" customHeight="1" x14ac:dyDescent="0.25">
      <c r="A3" s="59" t="s">
        <v>9</v>
      </c>
      <c r="B3" s="207" t="s">
        <v>100</v>
      </c>
      <c r="C3" s="207"/>
      <c r="D3" s="207"/>
    </row>
    <row r="4" spans="1:8" ht="36" customHeight="1" x14ac:dyDescent="0.25">
      <c r="A4" s="59" t="s">
        <v>3</v>
      </c>
      <c r="B4" s="207" t="s">
        <v>207</v>
      </c>
      <c r="C4" s="207"/>
      <c r="D4" s="207"/>
    </row>
    <row r="5" spans="1:8" s="2" customFormat="1" ht="36" customHeight="1" x14ac:dyDescent="0.2">
      <c r="A5" s="208" t="s">
        <v>10</v>
      </c>
      <c r="B5" s="209"/>
      <c r="C5" s="209"/>
      <c r="D5" s="209"/>
    </row>
    <row r="6" spans="1:8" s="2" customFormat="1" ht="35.25" customHeight="1" x14ac:dyDescent="0.2">
      <c r="A6" s="210" t="s">
        <v>56</v>
      </c>
      <c r="B6" s="211"/>
      <c r="C6" s="211"/>
      <c r="D6" s="211"/>
    </row>
    <row r="7" spans="1:8" s="3" customFormat="1" ht="19.5" customHeight="1" x14ac:dyDescent="0.2">
      <c r="A7" s="205" t="s">
        <v>35</v>
      </c>
      <c r="B7" s="205"/>
      <c r="C7" s="205"/>
      <c r="D7" s="205"/>
    </row>
    <row r="8" spans="1:8" s="18" customFormat="1" ht="38.25" x14ac:dyDescent="0.2">
      <c r="A8" s="135" t="s">
        <v>27</v>
      </c>
      <c r="B8" s="136" t="s">
        <v>119</v>
      </c>
      <c r="C8" s="137" t="s">
        <v>19</v>
      </c>
      <c r="D8" s="137" t="s">
        <v>59</v>
      </c>
    </row>
    <row r="9" spans="1:8" ht="22.5" customHeight="1" x14ac:dyDescent="0.2">
      <c r="A9" s="116">
        <v>43048</v>
      </c>
      <c r="B9" s="77">
        <v>34.299999999999997</v>
      </c>
      <c r="C9" s="39" t="s">
        <v>114</v>
      </c>
      <c r="D9" s="216" t="s">
        <v>142</v>
      </c>
      <c r="E9" s="82"/>
      <c r="F9" s="82"/>
    </row>
    <row r="10" spans="1:8" ht="22.5" customHeight="1" x14ac:dyDescent="0.2">
      <c r="A10" s="83" t="s">
        <v>141</v>
      </c>
      <c r="B10" s="64">
        <f>249.87+25-25-249.87+249.87+50+10+585.81+15+2+464.81+55-464.81+99-99-99+99</f>
        <v>967.68000000000006</v>
      </c>
      <c r="C10" s="109" t="s">
        <v>143</v>
      </c>
      <c r="D10" s="217"/>
      <c r="E10" s="82"/>
      <c r="F10" s="82"/>
    </row>
    <row r="11" spans="1:8" ht="22.5" customHeight="1" x14ac:dyDescent="0.2">
      <c r="A11" s="83">
        <v>43048</v>
      </c>
      <c r="B11" s="64">
        <f>98.76</f>
        <v>98.76</v>
      </c>
      <c r="C11" s="109" t="s">
        <v>272</v>
      </c>
      <c r="D11" s="217"/>
      <c r="E11" s="82"/>
      <c r="F11" s="82"/>
    </row>
    <row r="12" spans="1:8" ht="22.5" customHeight="1" x14ac:dyDescent="0.2">
      <c r="A12" s="83">
        <v>43048</v>
      </c>
      <c r="B12" s="64">
        <f>18.19</f>
        <v>18.190000000000001</v>
      </c>
      <c r="C12" s="109" t="s">
        <v>144</v>
      </c>
      <c r="D12" s="217"/>
      <c r="E12" s="82"/>
      <c r="F12" s="82"/>
    </row>
    <row r="13" spans="1:8" s="6" customFormat="1" ht="22.5" customHeight="1" x14ac:dyDescent="0.2">
      <c r="A13" s="69">
        <v>43048</v>
      </c>
      <c r="B13" s="86">
        <v>31.35</v>
      </c>
      <c r="C13" s="108" t="s">
        <v>166</v>
      </c>
      <c r="D13" s="217"/>
      <c r="E13" s="84"/>
      <c r="F13" s="84"/>
    </row>
    <row r="14" spans="1:8" s="6" customFormat="1" ht="22.5" customHeight="1" x14ac:dyDescent="0.2">
      <c r="A14" s="69">
        <v>43048</v>
      </c>
      <c r="B14" s="86">
        <f>324.04</f>
        <v>324.04000000000002</v>
      </c>
      <c r="C14" s="108" t="s">
        <v>145</v>
      </c>
      <c r="D14" s="217"/>
      <c r="E14" s="84"/>
      <c r="F14" s="84"/>
    </row>
    <row r="15" spans="1:8" s="6" customFormat="1" ht="22.5" customHeight="1" x14ac:dyDescent="0.2">
      <c r="A15" s="69">
        <v>43049</v>
      </c>
      <c r="B15" s="86">
        <f>35.54</f>
        <v>35.54</v>
      </c>
      <c r="C15" s="108" t="s">
        <v>164</v>
      </c>
      <c r="D15" s="217"/>
      <c r="E15" s="84"/>
      <c r="F15" s="84"/>
      <c r="H15" s="84"/>
    </row>
    <row r="16" spans="1:8" s="6" customFormat="1" ht="22.5" customHeight="1" x14ac:dyDescent="0.2">
      <c r="A16" s="69">
        <v>43049</v>
      </c>
      <c r="B16" s="86">
        <f>16.74</f>
        <v>16.739999999999998</v>
      </c>
      <c r="C16" s="108" t="s">
        <v>167</v>
      </c>
      <c r="D16" s="217"/>
      <c r="E16" s="84"/>
      <c r="F16" s="84"/>
    </row>
    <row r="17" spans="1:11" s="6" customFormat="1" ht="22.5" customHeight="1" x14ac:dyDescent="0.2">
      <c r="A17" s="69">
        <v>43049</v>
      </c>
      <c r="B17" s="86">
        <f>11.32</f>
        <v>11.32</v>
      </c>
      <c r="C17" s="108" t="s">
        <v>164</v>
      </c>
      <c r="D17" s="217"/>
      <c r="E17" s="84"/>
      <c r="F17" s="84"/>
      <c r="H17" s="84"/>
    </row>
    <row r="18" spans="1:11" s="6" customFormat="1" ht="22.5" customHeight="1" x14ac:dyDescent="0.2">
      <c r="A18" s="117">
        <v>43052</v>
      </c>
      <c r="B18" s="118">
        <f>33.8</f>
        <v>33.799999999999997</v>
      </c>
      <c r="C18" s="54" t="s">
        <v>186</v>
      </c>
      <c r="D18" s="218"/>
      <c r="E18" s="84"/>
      <c r="F18" s="84"/>
    </row>
    <row r="19" spans="1:11" s="6" customFormat="1" ht="22.5" customHeight="1" x14ac:dyDescent="0.2">
      <c r="A19" s="125" t="s">
        <v>177</v>
      </c>
      <c r="B19" s="120">
        <f>384.21</f>
        <v>384.21</v>
      </c>
      <c r="C19" s="52" t="s">
        <v>182</v>
      </c>
      <c r="D19" s="216" t="s">
        <v>178</v>
      </c>
      <c r="E19" s="87"/>
      <c r="F19" s="87"/>
    </row>
    <row r="20" spans="1:11" s="6" customFormat="1" ht="19.149999999999999" customHeight="1" x14ac:dyDescent="0.2">
      <c r="A20" s="70" t="s">
        <v>179</v>
      </c>
      <c r="B20" s="86">
        <f>60.34</f>
        <v>60.34</v>
      </c>
      <c r="C20" s="104" t="s">
        <v>279</v>
      </c>
      <c r="D20" s="217"/>
      <c r="E20" s="87"/>
      <c r="F20" s="87"/>
    </row>
    <row r="21" spans="1:11" s="6" customFormat="1" ht="30" customHeight="1" x14ac:dyDescent="0.2">
      <c r="A21" s="69">
        <v>43165</v>
      </c>
      <c r="B21" s="86">
        <f>213.59</f>
        <v>213.59</v>
      </c>
      <c r="C21" s="104" t="s">
        <v>183</v>
      </c>
      <c r="D21" s="217"/>
      <c r="E21" s="87"/>
      <c r="F21" s="87"/>
    </row>
    <row r="22" spans="1:11" s="6" customFormat="1" ht="22.5" customHeight="1" x14ac:dyDescent="0.2">
      <c r="A22" s="70" t="s">
        <v>180</v>
      </c>
      <c r="B22" s="86">
        <f>784</f>
        <v>784</v>
      </c>
      <c r="C22" s="104" t="s">
        <v>184</v>
      </c>
      <c r="D22" s="217"/>
      <c r="E22" s="87"/>
      <c r="F22" s="87"/>
    </row>
    <row r="23" spans="1:11" s="6" customFormat="1" ht="22.5" customHeight="1" x14ac:dyDescent="0.2">
      <c r="A23" s="70" t="s">
        <v>181</v>
      </c>
      <c r="B23" s="86">
        <f>63</f>
        <v>63</v>
      </c>
      <c r="C23" s="104" t="s">
        <v>280</v>
      </c>
      <c r="D23" s="217"/>
      <c r="E23" s="87"/>
      <c r="F23" s="87"/>
    </row>
    <row r="24" spans="1:11" s="6" customFormat="1" ht="22.5" customHeight="1" x14ac:dyDescent="0.2">
      <c r="A24" s="69">
        <v>43168</v>
      </c>
      <c r="B24" s="86">
        <f>62.2</f>
        <v>62.2</v>
      </c>
      <c r="C24" s="104" t="s">
        <v>185</v>
      </c>
      <c r="D24" s="217"/>
      <c r="E24" s="87"/>
      <c r="F24" s="87"/>
    </row>
    <row r="25" spans="1:11" s="6" customFormat="1" ht="22.5" customHeight="1" x14ac:dyDescent="0.2">
      <c r="A25" s="69">
        <v>43171</v>
      </c>
      <c r="B25" s="86">
        <f>76.4</f>
        <v>76.400000000000006</v>
      </c>
      <c r="C25" s="104" t="s">
        <v>115</v>
      </c>
      <c r="D25" s="217"/>
      <c r="E25" s="87"/>
      <c r="F25" s="87"/>
      <c r="K25" s="87"/>
    </row>
    <row r="26" spans="1:11" s="6" customFormat="1" ht="22.5" customHeight="1" x14ac:dyDescent="0.2">
      <c r="A26" s="117">
        <v>43171</v>
      </c>
      <c r="B26" s="118">
        <f>42.3</f>
        <v>42.3</v>
      </c>
      <c r="C26" s="54" t="s">
        <v>116</v>
      </c>
      <c r="D26" s="218"/>
      <c r="E26" s="87"/>
      <c r="F26" s="87"/>
    </row>
    <row r="27" spans="1:11" x14ac:dyDescent="0.2">
      <c r="A27" s="60"/>
      <c r="B27" s="64"/>
      <c r="C27" s="82"/>
      <c r="D27" s="100"/>
      <c r="E27" s="82"/>
      <c r="F27" s="82"/>
    </row>
    <row r="28" spans="1:11" x14ac:dyDescent="0.2">
      <c r="A28" s="60"/>
      <c r="B28" s="64"/>
      <c r="C28" s="40"/>
      <c r="D28" s="100"/>
      <c r="E28" s="81"/>
      <c r="F28" s="81"/>
    </row>
    <row r="29" spans="1:11" x14ac:dyDescent="0.2">
      <c r="A29" s="60"/>
      <c r="B29" s="64"/>
      <c r="C29" s="40"/>
      <c r="D29" s="100"/>
      <c r="E29" s="81"/>
      <c r="F29" s="81"/>
    </row>
    <row r="30" spans="1:11" hidden="1" x14ac:dyDescent="0.2">
      <c r="A30" s="60"/>
      <c r="B30" s="64"/>
      <c r="C30" s="40"/>
      <c r="D30" s="100"/>
      <c r="E30" s="81"/>
      <c r="F30" s="81"/>
    </row>
    <row r="31" spans="1:11" ht="19.5" customHeight="1" x14ac:dyDescent="0.2">
      <c r="A31" s="144" t="s">
        <v>4</v>
      </c>
      <c r="B31" s="166">
        <f>SUM(B9:B30)</f>
        <v>3257.7599999999998</v>
      </c>
      <c r="C31" s="40"/>
      <c r="D31" s="100"/>
      <c r="E31" s="81"/>
      <c r="F31" s="81"/>
    </row>
    <row r="32" spans="1:11" s="3" customFormat="1" ht="32.25" customHeight="1" x14ac:dyDescent="0.2">
      <c r="A32" s="212" t="s">
        <v>17</v>
      </c>
      <c r="B32" s="213"/>
      <c r="C32" s="213"/>
      <c r="D32" s="101"/>
    </row>
    <row r="33" spans="1:8" s="18" customFormat="1" ht="39" customHeight="1" x14ac:dyDescent="0.2">
      <c r="A33" s="103" t="s">
        <v>27</v>
      </c>
      <c r="B33" s="129" t="s">
        <v>101</v>
      </c>
      <c r="C33" s="102" t="s">
        <v>18</v>
      </c>
      <c r="D33" s="102" t="s">
        <v>60</v>
      </c>
    </row>
    <row r="34" spans="1:8" s="6" customFormat="1" ht="22.5" customHeight="1" x14ac:dyDescent="0.2">
      <c r="A34" s="119">
        <v>42928</v>
      </c>
      <c r="B34" s="120">
        <v>37.5</v>
      </c>
      <c r="C34" s="52" t="s">
        <v>114</v>
      </c>
      <c r="D34" s="198" t="s">
        <v>137</v>
      </c>
      <c r="E34" s="94"/>
      <c r="F34" s="167"/>
    </row>
    <row r="35" spans="1:8" s="6" customFormat="1" ht="22.5" customHeight="1" x14ac:dyDescent="0.2">
      <c r="A35" s="117">
        <v>42928</v>
      </c>
      <c r="B35" s="118">
        <f>296-296+296+9.9</f>
        <v>305.89999999999998</v>
      </c>
      <c r="C35" s="54" t="s">
        <v>124</v>
      </c>
      <c r="D35" s="219"/>
      <c r="E35" s="94"/>
      <c r="F35" s="94"/>
      <c r="H35" s="94"/>
    </row>
    <row r="36" spans="1:8" ht="30" customHeight="1" x14ac:dyDescent="0.2">
      <c r="A36" s="121">
        <v>42928</v>
      </c>
      <c r="B36" s="122">
        <f>237+9.9</f>
        <v>246.9</v>
      </c>
      <c r="C36" s="123" t="s">
        <v>125</v>
      </c>
      <c r="D36" s="124" t="s">
        <v>228</v>
      </c>
      <c r="E36" s="81"/>
      <c r="F36" s="81"/>
      <c r="H36" s="57"/>
    </row>
    <row r="37" spans="1:8" s="6" customFormat="1" ht="30" customHeight="1" x14ac:dyDescent="0.2">
      <c r="A37" s="125" t="s">
        <v>102</v>
      </c>
      <c r="B37" s="120">
        <v>26.4</v>
      </c>
      <c r="C37" s="52" t="s">
        <v>129</v>
      </c>
      <c r="D37" s="126" t="s">
        <v>234</v>
      </c>
      <c r="E37" s="94"/>
      <c r="F37" s="94"/>
    </row>
    <row r="38" spans="1:8" s="97" customFormat="1" ht="30" customHeight="1" x14ac:dyDescent="0.2">
      <c r="A38" s="119">
        <v>42934</v>
      </c>
      <c r="B38" s="120">
        <v>20.2</v>
      </c>
      <c r="C38" s="52" t="s">
        <v>127</v>
      </c>
      <c r="D38" s="126" t="s">
        <v>138</v>
      </c>
      <c r="E38" s="94"/>
      <c r="F38" s="94"/>
    </row>
    <row r="39" spans="1:8" s="6" customFormat="1" ht="22.5" customHeight="1" x14ac:dyDescent="0.2">
      <c r="A39" s="119">
        <v>42967</v>
      </c>
      <c r="B39" s="120">
        <v>38.9</v>
      </c>
      <c r="C39" s="52" t="s">
        <v>116</v>
      </c>
      <c r="D39" s="126" t="s">
        <v>158</v>
      </c>
      <c r="E39" s="94"/>
      <c r="F39" s="94"/>
    </row>
    <row r="40" spans="1:8" s="6" customFormat="1" ht="22.5" customHeight="1" x14ac:dyDescent="0.2">
      <c r="A40" s="119">
        <v>42971</v>
      </c>
      <c r="B40" s="120">
        <v>40</v>
      </c>
      <c r="C40" s="52" t="s">
        <v>112</v>
      </c>
      <c r="D40" s="198" t="s">
        <v>273</v>
      </c>
      <c r="E40" s="94"/>
      <c r="F40" s="94"/>
    </row>
    <row r="41" spans="1:8" s="6" customFormat="1" ht="22.5" customHeight="1" x14ac:dyDescent="0.2">
      <c r="A41" s="69" t="s">
        <v>103</v>
      </c>
      <c r="B41" s="86">
        <f>379+59.4+189+164</f>
        <v>791.4</v>
      </c>
      <c r="C41" s="104" t="s">
        <v>126</v>
      </c>
      <c r="D41" s="199"/>
      <c r="E41" s="93"/>
      <c r="F41" s="93"/>
    </row>
    <row r="42" spans="1:8" s="6" customFormat="1" ht="22.5" customHeight="1" x14ac:dyDescent="0.2">
      <c r="A42" s="69">
        <v>42971</v>
      </c>
      <c r="B42" s="86">
        <v>78.8</v>
      </c>
      <c r="C42" s="104" t="s">
        <v>198</v>
      </c>
      <c r="D42" s="199"/>
      <c r="E42" s="94"/>
      <c r="F42" s="94"/>
    </row>
    <row r="43" spans="1:8" s="6" customFormat="1" ht="22.5" customHeight="1" x14ac:dyDescent="0.2">
      <c r="A43" s="69">
        <v>42974</v>
      </c>
      <c r="B43" s="86">
        <v>40.799999999999997</v>
      </c>
      <c r="C43" s="104" t="s">
        <v>113</v>
      </c>
      <c r="D43" s="199"/>
      <c r="E43" s="94"/>
      <c r="F43" s="94"/>
    </row>
    <row r="44" spans="1:8" s="6" customFormat="1" ht="22.5" customHeight="1" x14ac:dyDescent="0.2">
      <c r="A44" s="119">
        <v>42977</v>
      </c>
      <c r="B44" s="120">
        <v>38.299999999999997</v>
      </c>
      <c r="C44" s="52" t="s">
        <v>114</v>
      </c>
      <c r="D44" s="198" t="s">
        <v>240</v>
      </c>
      <c r="E44" s="94"/>
      <c r="F44" s="94"/>
    </row>
    <row r="45" spans="1:8" s="6" customFormat="1" ht="22.5" customHeight="1" x14ac:dyDescent="0.2">
      <c r="A45" s="69" t="s">
        <v>104</v>
      </c>
      <c r="B45" s="86">
        <f>414+59.4+94+40+40+40+40</f>
        <v>727.4</v>
      </c>
      <c r="C45" s="104" t="s">
        <v>126</v>
      </c>
      <c r="D45" s="199"/>
      <c r="E45" s="94"/>
      <c r="F45" s="94"/>
    </row>
    <row r="46" spans="1:8" s="6" customFormat="1" ht="30" customHeight="1" x14ac:dyDescent="0.2">
      <c r="A46" s="69">
        <v>42977</v>
      </c>
      <c r="B46" s="86">
        <v>78.400000000000006</v>
      </c>
      <c r="C46" s="104" t="s">
        <v>241</v>
      </c>
      <c r="D46" s="199"/>
      <c r="E46" s="94"/>
      <c r="F46" s="94"/>
    </row>
    <row r="47" spans="1:8" s="6" customFormat="1" ht="22.5" customHeight="1" x14ac:dyDescent="0.2">
      <c r="A47" s="69">
        <v>42977</v>
      </c>
      <c r="B47" s="86">
        <v>9.6</v>
      </c>
      <c r="C47" s="104" t="s">
        <v>242</v>
      </c>
      <c r="D47" s="199"/>
      <c r="E47" s="94"/>
      <c r="F47" s="94"/>
    </row>
    <row r="48" spans="1:8" s="6" customFormat="1" ht="22.5" customHeight="1" x14ac:dyDescent="0.2">
      <c r="A48" s="119">
        <v>42979</v>
      </c>
      <c r="B48" s="120">
        <v>21.6</v>
      </c>
      <c r="C48" s="52" t="s">
        <v>127</v>
      </c>
      <c r="D48" s="198" t="s">
        <v>234</v>
      </c>
      <c r="E48" s="94"/>
      <c r="F48" s="94"/>
    </row>
    <row r="49" spans="1:6" s="6" customFormat="1" ht="22.5" customHeight="1" x14ac:dyDescent="0.2">
      <c r="A49" s="69">
        <v>42979</v>
      </c>
      <c r="B49" s="86">
        <v>13.2</v>
      </c>
      <c r="C49" s="104" t="s">
        <v>128</v>
      </c>
      <c r="D49" s="199"/>
      <c r="E49" s="94"/>
      <c r="F49" s="94"/>
    </row>
    <row r="50" spans="1:6" s="6" customFormat="1" ht="22.5" customHeight="1" x14ac:dyDescent="0.2">
      <c r="A50" s="119">
        <v>42980</v>
      </c>
      <c r="B50" s="120">
        <v>14.4</v>
      </c>
      <c r="C50" s="52" t="s">
        <v>129</v>
      </c>
      <c r="D50" s="198" t="s">
        <v>235</v>
      </c>
      <c r="E50" s="94"/>
      <c r="F50" s="94"/>
    </row>
    <row r="51" spans="1:6" s="6" customFormat="1" ht="22.5" customHeight="1" x14ac:dyDescent="0.2">
      <c r="A51" s="69">
        <v>42981</v>
      </c>
      <c r="B51" s="86">
        <v>73</v>
      </c>
      <c r="C51" s="104" t="s">
        <v>115</v>
      </c>
      <c r="D51" s="199"/>
      <c r="E51" s="94"/>
      <c r="F51" s="94"/>
    </row>
    <row r="52" spans="1:6" s="6" customFormat="1" ht="22.5" customHeight="1" x14ac:dyDescent="0.2">
      <c r="A52" s="69">
        <v>42981</v>
      </c>
      <c r="B52" s="86">
        <v>42.9</v>
      </c>
      <c r="C52" s="104" t="s">
        <v>116</v>
      </c>
      <c r="D52" s="199"/>
      <c r="E52" s="94"/>
      <c r="F52" s="94"/>
    </row>
    <row r="53" spans="1:6" s="6" customFormat="1" ht="22.5" customHeight="1" x14ac:dyDescent="0.2">
      <c r="A53" s="119">
        <v>42985</v>
      </c>
      <c r="B53" s="120">
        <v>48.4</v>
      </c>
      <c r="C53" s="52" t="s">
        <v>114</v>
      </c>
      <c r="D53" s="198" t="s">
        <v>236</v>
      </c>
      <c r="E53" s="94"/>
      <c r="F53" s="94"/>
    </row>
    <row r="54" spans="1:6" s="6" customFormat="1" ht="22.5" customHeight="1" x14ac:dyDescent="0.2">
      <c r="A54" s="69" t="s">
        <v>121</v>
      </c>
      <c r="B54" s="86">
        <f>498+99</f>
        <v>597</v>
      </c>
      <c r="C54" s="104" t="s">
        <v>126</v>
      </c>
      <c r="D54" s="199"/>
      <c r="E54" s="93"/>
      <c r="F54" s="93"/>
    </row>
    <row r="55" spans="1:6" s="6" customFormat="1" ht="22.5" customHeight="1" x14ac:dyDescent="0.2">
      <c r="A55" s="69">
        <v>42985</v>
      </c>
      <c r="B55" s="86">
        <v>79.8</v>
      </c>
      <c r="C55" s="104" t="s">
        <v>198</v>
      </c>
      <c r="D55" s="199"/>
      <c r="E55" s="94"/>
      <c r="F55" s="94"/>
    </row>
    <row r="56" spans="1:6" s="6" customFormat="1" ht="30" customHeight="1" x14ac:dyDescent="0.2">
      <c r="A56" s="69">
        <v>42985</v>
      </c>
      <c r="B56" s="86">
        <v>12.6</v>
      </c>
      <c r="C56" s="104" t="s">
        <v>274</v>
      </c>
      <c r="D56" s="199"/>
      <c r="E56" s="94"/>
      <c r="F56" s="94"/>
    </row>
    <row r="57" spans="1:6" s="6" customFormat="1" ht="22.5" customHeight="1" x14ac:dyDescent="0.2">
      <c r="A57" s="69">
        <v>42985</v>
      </c>
      <c r="B57" s="86">
        <v>21.4</v>
      </c>
      <c r="C57" s="104" t="s">
        <v>237</v>
      </c>
      <c r="D57" s="199"/>
      <c r="E57" s="94"/>
      <c r="F57" s="94"/>
    </row>
    <row r="58" spans="1:6" s="6" customFormat="1" ht="22.5" customHeight="1" x14ac:dyDescent="0.2">
      <c r="A58" s="69">
        <v>42985</v>
      </c>
      <c r="B58" s="86">
        <v>12</v>
      </c>
      <c r="C58" s="104" t="s">
        <v>238</v>
      </c>
      <c r="D58" s="199"/>
      <c r="E58" s="94"/>
      <c r="F58" s="94"/>
    </row>
    <row r="59" spans="1:6" s="6" customFormat="1" ht="22.5" customHeight="1" x14ac:dyDescent="0.2">
      <c r="A59" s="69">
        <v>42986</v>
      </c>
      <c r="B59" s="86">
        <v>73</v>
      </c>
      <c r="C59" s="104" t="s">
        <v>115</v>
      </c>
      <c r="D59" s="199"/>
      <c r="E59" s="94"/>
      <c r="F59" s="94"/>
    </row>
    <row r="60" spans="1:6" s="6" customFormat="1" ht="22.5" customHeight="1" x14ac:dyDescent="0.2">
      <c r="A60" s="69">
        <v>42986</v>
      </c>
      <c r="B60" s="86">
        <v>47.5</v>
      </c>
      <c r="C60" s="104" t="s">
        <v>116</v>
      </c>
      <c r="D60" s="199"/>
      <c r="E60" s="94"/>
      <c r="F60" s="94"/>
    </row>
    <row r="61" spans="1:6" s="6" customFormat="1" ht="22.5" customHeight="1" x14ac:dyDescent="0.2">
      <c r="A61" s="119">
        <v>42987</v>
      </c>
      <c r="B61" s="120">
        <v>29.6</v>
      </c>
      <c r="C61" s="52" t="s">
        <v>114</v>
      </c>
      <c r="D61" s="198" t="s">
        <v>243</v>
      </c>
      <c r="E61" s="94"/>
      <c r="F61" s="94"/>
    </row>
    <row r="62" spans="1:6" s="6" customFormat="1" ht="22.5" customHeight="1" x14ac:dyDescent="0.2">
      <c r="A62" s="69" t="s">
        <v>105</v>
      </c>
      <c r="B62" s="86">
        <f>468+99</f>
        <v>567</v>
      </c>
      <c r="C62" s="104" t="s">
        <v>126</v>
      </c>
      <c r="D62" s="199"/>
      <c r="E62" s="93"/>
      <c r="F62" s="93"/>
    </row>
    <row r="63" spans="1:6" s="6" customFormat="1" ht="22.5" customHeight="1" x14ac:dyDescent="0.2">
      <c r="A63" s="69">
        <v>42987</v>
      </c>
      <c r="B63" s="86">
        <v>76.8</v>
      </c>
      <c r="C63" s="104" t="s">
        <v>117</v>
      </c>
      <c r="D63" s="199"/>
      <c r="E63" s="94"/>
      <c r="F63" s="94"/>
    </row>
    <row r="64" spans="1:6" s="6" customFormat="1" ht="22.9" customHeight="1" x14ac:dyDescent="0.2">
      <c r="A64" s="69">
        <v>42988</v>
      </c>
      <c r="B64" s="86">
        <v>72</v>
      </c>
      <c r="C64" s="104" t="s">
        <v>115</v>
      </c>
      <c r="D64" s="199"/>
      <c r="E64" s="94"/>
      <c r="F64" s="94"/>
    </row>
    <row r="65" spans="1:6" s="6" customFormat="1" ht="22.5" customHeight="1" x14ac:dyDescent="0.2">
      <c r="A65" s="69">
        <v>42988</v>
      </c>
      <c r="B65" s="86">
        <v>41.8</v>
      </c>
      <c r="C65" s="104" t="s">
        <v>116</v>
      </c>
      <c r="D65" s="199"/>
      <c r="E65" s="94"/>
      <c r="F65" s="94"/>
    </row>
    <row r="66" spans="1:6" s="6" customFormat="1" ht="24.95" customHeight="1" x14ac:dyDescent="0.2">
      <c r="A66" s="119">
        <v>42993</v>
      </c>
      <c r="B66" s="120">
        <v>45.6</v>
      </c>
      <c r="C66" s="52" t="s">
        <v>114</v>
      </c>
      <c r="D66" s="198" t="s">
        <v>139</v>
      </c>
      <c r="E66" s="94"/>
      <c r="F66" s="94"/>
    </row>
    <row r="67" spans="1:6" s="6" customFormat="1" ht="24.95" customHeight="1" x14ac:dyDescent="0.2">
      <c r="A67" s="69">
        <v>42995</v>
      </c>
      <c r="B67" s="86">
        <v>41.7</v>
      </c>
      <c r="C67" s="104" t="s">
        <v>116</v>
      </c>
      <c r="D67" s="199"/>
      <c r="E67" s="94"/>
      <c r="F67" s="94"/>
    </row>
    <row r="68" spans="1:6" s="6" customFormat="1" ht="24" customHeight="1" x14ac:dyDescent="0.2">
      <c r="A68" s="119">
        <v>42996</v>
      </c>
      <c r="B68" s="120">
        <v>40.200000000000003</v>
      </c>
      <c r="C68" s="52" t="s">
        <v>114</v>
      </c>
      <c r="D68" s="198" t="s">
        <v>229</v>
      </c>
      <c r="E68" s="93"/>
      <c r="F68" s="93"/>
    </row>
    <row r="69" spans="1:6" s="6" customFormat="1" ht="19.149999999999999" customHeight="1" x14ac:dyDescent="0.2">
      <c r="A69" s="69" t="s">
        <v>106</v>
      </c>
      <c r="B69" s="86">
        <f>296+99+178</f>
        <v>573</v>
      </c>
      <c r="C69" s="104" t="s">
        <v>126</v>
      </c>
      <c r="D69" s="199"/>
      <c r="E69" s="93"/>
      <c r="F69" s="93"/>
    </row>
    <row r="70" spans="1:6" s="6" customFormat="1" ht="20.65" customHeight="1" x14ac:dyDescent="0.2">
      <c r="A70" s="69">
        <v>42998</v>
      </c>
      <c r="B70" s="86">
        <v>70.400000000000006</v>
      </c>
      <c r="C70" s="104" t="s">
        <v>115</v>
      </c>
      <c r="D70" s="199"/>
      <c r="E70" s="93"/>
      <c r="F70" s="93"/>
    </row>
    <row r="71" spans="1:6" s="6" customFormat="1" ht="24.95" customHeight="1" x14ac:dyDescent="0.2">
      <c r="A71" s="69">
        <v>42998</v>
      </c>
      <c r="B71" s="86">
        <v>53.9</v>
      </c>
      <c r="C71" s="104" t="s">
        <v>116</v>
      </c>
      <c r="D71" s="199"/>
      <c r="E71" s="93"/>
      <c r="F71" s="93"/>
    </row>
    <row r="72" spans="1:6" s="6" customFormat="1" ht="30" customHeight="1" x14ac:dyDescent="0.2">
      <c r="A72" s="119">
        <v>43000</v>
      </c>
      <c r="B72" s="120">
        <v>41.1</v>
      </c>
      <c r="C72" s="52" t="s">
        <v>114</v>
      </c>
      <c r="D72" s="126" t="s">
        <v>139</v>
      </c>
      <c r="E72" s="94"/>
      <c r="F72" s="94"/>
    </row>
    <row r="73" spans="1:6" s="6" customFormat="1" ht="51.75" customHeight="1" x14ac:dyDescent="0.2">
      <c r="A73" s="119" t="s">
        <v>107</v>
      </c>
      <c r="B73" s="120">
        <f>429+99</f>
        <v>528</v>
      </c>
      <c r="C73" s="52" t="s">
        <v>126</v>
      </c>
      <c r="D73" s="198" t="s">
        <v>244</v>
      </c>
      <c r="E73" s="93"/>
      <c r="F73" s="93"/>
    </row>
    <row r="74" spans="1:6" s="6" customFormat="1" ht="51" customHeight="1" x14ac:dyDescent="0.2">
      <c r="A74" s="69">
        <v>43008</v>
      </c>
      <c r="B74" s="86">
        <v>71.599999999999994</v>
      </c>
      <c r="C74" s="104" t="s">
        <v>115</v>
      </c>
      <c r="D74" s="199"/>
      <c r="E74" s="93"/>
      <c r="F74" s="93"/>
    </row>
    <row r="75" spans="1:6" s="6" customFormat="1" ht="22.5" customHeight="1" x14ac:dyDescent="0.2">
      <c r="A75" s="119">
        <v>43008</v>
      </c>
      <c r="B75" s="120">
        <v>42.6</v>
      </c>
      <c r="C75" s="52" t="s">
        <v>114</v>
      </c>
      <c r="D75" s="198" t="s">
        <v>139</v>
      </c>
      <c r="F75" s="99"/>
    </row>
    <row r="76" spans="1:6" s="6" customFormat="1" ht="22.5" customHeight="1" x14ac:dyDescent="0.2">
      <c r="A76" s="69">
        <v>43009</v>
      </c>
      <c r="B76" s="86">
        <v>33.9</v>
      </c>
      <c r="C76" s="104" t="s">
        <v>116</v>
      </c>
      <c r="D76" s="199"/>
      <c r="F76" s="94"/>
    </row>
    <row r="77" spans="1:6" s="6" customFormat="1" ht="22.5" customHeight="1" x14ac:dyDescent="0.2">
      <c r="A77" s="119">
        <v>43014</v>
      </c>
      <c r="B77" s="120">
        <v>38.200000000000003</v>
      </c>
      <c r="C77" s="52" t="s">
        <v>114</v>
      </c>
      <c r="D77" s="198" t="s">
        <v>146</v>
      </c>
      <c r="E77" s="93"/>
      <c r="F77" s="93"/>
    </row>
    <row r="78" spans="1:6" s="6" customFormat="1" ht="22.5" customHeight="1" x14ac:dyDescent="0.2">
      <c r="A78" s="70" t="s">
        <v>147</v>
      </c>
      <c r="B78" s="86">
        <f>473+99</f>
        <v>572</v>
      </c>
      <c r="C78" s="104" t="s">
        <v>148</v>
      </c>
      <c r="D78" s="199"/>
      <c r="E78" s="94"/>
      <c r="F78" s="94"/>
    </row>
    <row r="79" spans="1:6" s="6" customFormat="1" ht="22.5" customHeight="1" x14ac:dyDescent="0.2">
      <c r="A79" s="69">
        <v>43014</v>
      </c>
      <c r="B79" s="86">
        <v>76.8</v>
      </c>
      <c r="C79" s="104" t="s">
        <v>117</v>
      </c>
      <c r="D79" s="199"/>
      <c r="E79" s="93"/>
      <c r="F79" s="93"/>
    </row>
    <row r="80" spans="1:6" s="6" customFormat="1" ht="22.5" customHeight="1" x14ac:dyDescent="0.2">
      <c r="A80" s="69">
        <v>43016</v>
      </c>
      <c r="B80" s="86">
        <v>73.8</v>
      </c>
      <c r="C80" s="104" t="s">
        <v>115</v>
      </c>
      <c r="D80" s="199"/>
      <c r="E80" s="93"/>
      <c r="F80" s="93"/>
    </row>
    <row r="81" spans="1:6" s="6" customFormat="1" ht="22.5" customHeight="1" x14ac:dyDescent="0.2">
      <c r="A81" s="69">
        <v>43016</v>
      </c>
      <c r="B81" s="86">
        <v>34.299999999999997</v>
      </c>
      <c r="C81" s="104" t="s">
        <v>116</v>
      </c>
      <c r="D81" s="199"/>
      <c r="E81" s="93"/>
      <c r="F81" s="93"/>
    </row>
    <row r="82" spans="1:6" s="6" customFormat="1" ht="22.5" customHeight="1" x14ac:dyDescent="0.2">
      <c r="A82" s="119">
        <v>43021</v>
      </c>
      <c r="B82" s="120">
        <v>40.799999999999997</v>
      </c>
      <c r="C82" s="52" t="s">
        <v>114</v>
      </c>
      <c r="D82" s="198" t="s">
        <v>149</v>
      </c>
      <c r="E82" s="93"/>
      <c r="F82" s="93"/>
    </row>
    <row r="83" spans="1:6" s="6" customFormat="1" ht="22.5" customHeight="1" x14ac:dyDescent="0.2">
      <c r="A83" s="70" t="s">
        <v>150</v>
      </c>
      <c r="B83" s="86">
        <f>404+59.4-59.4-404+498+99</f>
        <v>597</v>
      </c>
      <c r="C83" s="104" t="s">
        <v>148</v>
      </c>
      <c r="D83" s="199"/>
      <c r="E83" s="93"/>
      <c r="F83" s="93"/>
    </row>
    <row r="84" spans="1:6" s="6" customFormat="1" ht="22.5" customHeight="1" x14ac:dyDescent="0.2">
      <c r="A84" s="69">
        <v>43021</v>
      </c>
      <c r="B84" s="86">
        <v>76</v>
      </c>
      <c r="C84" s="104" t="s">
        <v>117</v>
      </c>
      <c r="D84" s="199"/>
      <c r="E84" s="93"/>
      <c r="F84" s="93"/>
    </row>
    <row r="85" spans="1:6" s="6" customFormat="1" ht="22.5" customHeight="1" x14ac:dyDescent="0.2">
      <c r="A85" s="69">
        <v>43023</v>
      </c>
      <c r="B85" s="86">
        <v>71.599999999999994</v>
      </c>
      <c r="C85" s="104" t="s">
        <v>115</v>
      </c>
      <c r="D85" s="199"/>
      <c r="E85" s="93"/>
      <c r="F85" s="93"/>
    </row>
    <row r="86" spans="1:6" s="6" customFormat="1" ht="22.5" customHeight="1" x14ac:dyDescent="0.2">
      <c r="A86" s="69">
        <v>43023</v>
      </c>
      <c r="B86" s="86">
        <v>35.6</v>
      </c>
      <c r="C86" s="104" t="s">
        <v>116</v>
      </c>
      <c r="D86" s="199"/>
      <c r="E86" s="93"/>
      <c r="F86" s="93"/>
    </row>
    <row r="87" spans="1:6" s="6" customFormat="1" ht="22.5" customHeight="1" x14ac:dyDescent="0.2">
      <c r="A87" s="119">
        <v>43027</v>
      </c>
      <c r="B87" s="120">
        <v>40.799999999999997</v>
      </c>
      <c r="C87" s="52" t="s">
        <v>114</v>
      </c>
      <c r="D87" s="198" t="s">
        <v>245</v>
      </c>
      <c r="E87" s="93"/>
      <c r="F87" s="93"/>
    </row>
    <row r="88" spans="1:6" s="6" customFormat="1" ht="22.5" customHeight="1" x14ac:dyDescent="0.2">
      <c r="A88" s="70" t="s">
        <v>151</v>
      </c>
      <c r="B88" s="86">
        <f>334+99</f>
        <v>433</v>
      </c>
      <c r="C88" s="104" t="s">
        <v>148</v>
      </c>
      <c r="D88" s="199"/>
      <c r="E88" s="93"/>
      <c r="F88" s="93"/>
    </row>
    <row r="89" spans="1:6" s="6" customFormat="1" ht="22.5" customHeight="1" x14ac:dyDescent="0.2">
      <c r="A89" s="69">
        <v>43027</v>
      </c>
      <c r="B89" s="86">
        <v>65</v>
      </c>
      <c r="C89" s="104" t="s">
        <v>117</v>
      </c>
      <c r="D89" s="199"/>
      <c r="E89" s="93"/>
      <c r="F89" s="93"/>
    </row>
    <row r="90" spans="1:6" s="6" customFormat="1" ht="22.5" customHeight="1" x14ac:dyDescent="0.2">
      <c r="A90" s="119">
        <v>43028</v>
      </c>
      <c r="B90" s="120">
        <v>81.2</v>
      </c>
      <c r="C90" s="52" t="s">
        <v>115</v>
      </c>
      <c r="D90" s="198" t="s">
        <v>283</v>
      </c>
      <c r="E90" s="93"/>
      <c r="F90" s="93"/>
    </row>
    <row r="91" spans="1:6" s="6" customFormat="1" ht="22.5" customHeight="1" x14ac:dyDescent="0.2">
      <c r="A91" s="69">
        <v>43028</v>
      </c>
      <c r="B91" s="86">
        <f>592+49.5</f>
        <v>641.5</v>
      </c>
      <c r="C91" s="104" t="s">
        <v>152</v>
      </c>
      <c r="D91" s="199"/>
      <c r="E91" s="93"/>
      <c r="F91" s="93"/>
    </row>
    <row r="92" spans="1:6" s="6" customFormat="1" ht="30" customHeight="1" x14ac:dyDescent="0.2">
      <c r="A92" s="119">
        <v>43031</v>
      </c>
      <c r="B92" s="120">
        <v>72.599999999999994</v>
      </c>
      <c r="C92" s="52" t="s">
        <v>186</v>
      </c>
      <c r="D92" s="126" t="s">
        <v>275</v>
      </c>
      <c r="E92" s="93"/>
      <c r="F92" s="93"/>
    </row>
    <row r="93" spans="1:6" s="6" customFormat="1" ht="22.5" customHeight="1" x14ac:dyDescent="0.2">
      <c r="A93" s="119">
        <v>43033</v>
      </c>
      <c r="B93" s="120">
        <v>35.799999999999997</v>
      </c>
      <c r="C93" s="52" t="s">
        <v>114</v>
      </c>
      <c r="D93" s="198" t="s">
        <v>284</v>
      </c>
      <c r="E93" s="93"/>
      <c r="F93" s="93"/>
    </row>
    <row r="94" spans="1:6" s="6" customFormat="1" ht="30" customHeight="1" x14ac:dyDescent="0.2">
      <c r="A94" s="69">
        <v>43033</v>
      </c>
      <c r="B94" s="86">
        <f>479+49.5+50</f>
        <v>578.5</v>
      </c>
      <c r="C94" s="104" t="s">
        <v>155</v>
      </c>
      <c r="D94" s="199"/>
      <c r="E94" s="93"/>
      <c r="F94" s="93"/>
    </row>
    <row r="95" spans="1:6" s="6" customFormat="1" ht="30" customHeight="1" x14ac:dyDescent="0.2">
      <c r="A95" s="69">
        <v>43033</v>
      </c>
      <c r="B95" s="86">
        <v>63.7</v>
      </c>
      <c r="C95" s="104" t="s">
        <v>156</v>
      </c>
      <c r="D95" s="199"/>
      <c r="E95" s="95"/>
      <c r="F95" s="95"/>
    </row>
    <row r="96" spans="1:6" s="6" customFormat="1" ht="22.5" customHeight="1" x14ac:dyDescent="0.2">
      <c r="A96" s="69">
        <v>43034</v>
      </c>
      <c r="B96" s="86">
        <v>76.2</v>
      </c>
      <c r="C96" s="104" t="s">
        <v>246</v>
      </c>
      <c r="D96" s="199"/>
      <c r="E96" s="93"/>
      <c r="F96" s="93"/>
    </row>
    <row r="97" spans="1:6" s="6" customFormat="1" ht="22.5" customHeight="1" x14ac:dyDescent="0.2">
      <c r="A97" s="69">
        <v>43035</v>
      </c>
      <c r="B97" s="86">
        <v>72.599999999999994</v>
      </c>
      <c r="C97" s="104" t="s">
        <v>115</v>
      </c>
      <c r="D97" s="199"/>
      <c r="E97" s="93"/>
      <c r="F97" s="93"/>
    </row>
    <row r="98" spans="1:6" s="6" customFormat="1" ht="22.5" customHeight="1" x14ac:dyDescent="0.2">
      <c r="A98" s="69">
        <v>43035</v>
      </c>
      <c r="B98" s="86">
        <f>196+99-68-49.5+10</f>
        <v>187.5</v>
      </c>
      <c r="C98" s="104" t="s">
        <v>157</v>
      </c>
      <c r="D98" s="199"/>
      <c r="E98" s="93"/>
      <c r="F98" s="93"/>
    </row>
    <row r="99" spans="1:6" s="6" customFormat="1" ht="22.5" customHeight="1" x14ac:dyDescent="0.2">
      <c r="A99" s="69">
        <v>43035</v>
      </c>
      <c r="B99" s="86">
        <v>54.6</v>
      </c>
      <c r="C99" s="104" t="s">
        <v>116</v>
      </c>
      <c r="D99" s="199"/>
      <c r="E99" s="93"/>
      <c r="F99" s="93"/>
    </row>
    <row r="100" spans="1:6" s="6" customFormat="1" ht="22.5" customHeight="1" x14ac:dyDescent="0.2">
      <c r="A100" s="119">
        <v>43035</v>
      </c>
      <c r="B100" s="127">
        <v>40.9</v>
      </c>
      <c r="C100" s="52" t="s">
        <v>114</v>
      </c>
      <c r="D100" s="198" t="s">
        <v>139</v>
      </c>
      <c r="E100" s="95"/>
      <c r="F100" s="95"/>
    </row>
    <row r="101" spans="1:6" s="6" customFormat="1" ht="22.5" customHeight="1" x14ac:dyDescent="0.2">
      <c r="A101" s="69">
        <v>43045</v>
      </c>
      <c r="B101" s="86">
        <f>72.4</f>
        <v>72.400000000000006</v>
      </c>
      <c r="C101" s="104" t="s">
        <v>117</v>
      </c>
      <c r="D101" s="199"/>
      <c r="E101" s="95"/>
      <c r="F101" s="95"/>
    </row>
    <row r="102" spans="1:6" s="6" customFormat="1" ht="22.5" customHeight="1" x14ac:dyDescent="0.2">
      <c r="A102" s="69">
        <v>43045</v>
      </c>
      <c r="B102" s="86">
        <f>296+49.5+30</f>
        <v>375.5</v>
      </c>
      <c r="C102" s="104" t="s">
        <v>157</v>
      </c>
      <c r="D102" s="199"/>
      <c r="E102" s="94"/>
      <c r="F102" s="94"/>
    </row>
    <row r="103" spans="1:6" s="6" customFormat="1" ht="22.5" customHeight="1" x14ac:dyDescent="0.2">
      <c r="A103" s="69">
        <v>43045</v>
      </c>
      <c r="B103" s="86">
        <f>57</f>
        <v>57</v>
      </c>
      <c r="C103" s="104" t="s">
        <v>116</v>
      </c>
      <c r="D103" s="199"/>
      <c r="E103" s="95"/>
      <c r="F103" s="95"/>
    </row>
    <row r="104" spans="1:6" s="6" customFormat="1" ht="22.5" customHeight="1" x14ac:dyDescent="0.2">
      <c r="A104" s="119">
        <v>43052</v>
      </c>
      <c r="B104" s="120">
        <f>44.5</f>
        <v>44.5</v>
      </c>
      <c r="C104" s="52" t="s">
        <v>114</v>
      </c>
      <c r="D104" s="198" t="s">
        <v>247</v>
      </c>
      <c r="E104" s="95"/>
      <c r="F104" s="95"/>
    </row>
    <row r="105" spans="1:6" s="6" customFormat="1" ht="22.5" customHeight="1" x14ac:dyDescent="0.2">
      <c r="A105" s="69" t="s">
        <v>159</v>
      </c>
      <c r="B105" s="86">
        <f>119+177+49.5+266+49.5</f>
        <v>661</v>
      </c>
      <c r="C105" s="104" t="s">
        <v>160</v>
      </c>
      <c r="D105" s="199"/>
      <c r="E105" s="94"/>
      <c r="F105" s="94"/>
    </row>
    <row r="106" spans="1:6" s="6" customFormat="1" ht="22.9" customHeight="1" x14ac:dyDescent="0.2">
      <c r="A106" s="69">
        <v>43052</v>
      </c>
      <c r="B106" s="86">
        <f>77.6</f>
        <v>77.599999999999994</v>
      </c>
      <c r="C106" s="104" t="s">
        <v>117</v>
      </c>
      <c r="D106" s="199"/>
      <c r="E106" s="95"/>
      <c r="F106" s="95"/>
    </row>
    <row r="107" spans="1:6" s="6" customFormat="1" ht="30" customHeight="1" x14ac:dyDescent="0.2">
      <c r="A107" s="119">
        <v>43053</v>
      </c>
      <c r="B107" s="120">
        <f>76.2</f>
        <v>76.2</v>
      </c>
      <c r="C107" s="52" t="s">
        <v>161</v>
      </c>
      <c r="D107" s="128" t="s">
        <v>248</v>
      </c>
      <c r="E107" s="95"/>
      <c r="F107" s="95"/>
    </row>
    <row r="108" spans="1:6" s="6" customFormat="1" ht="30" customHeight="1" x14ac:dyDescent="0.2">
      <c r="A108" s="119">
        <v>43058</v>
      </c>
      <c r="B108" s="120">
        <f>35.3</f>
        <v>35.299999999999997</v>
      </c>
      <c r="C108" s="52" t="s">
        <v>116</v>
      </c>
      <c r="D108" s="128" t="s">
        <v>139</v>
      </c>
      <c r="E108" s="95"/>
      <c r="F108" s="95"/>
    </row>
    <row r="109" spans="1:6" s="6" customFormat="1" ht="22.5" customHeight="1" x14ac:dyDescent="0.2">
      <c r="A109" s="119">
        <v>43068</v>
      </c>
      <c r="B109" s="120">
        <f>23.55</f>
        <v>23.55</v>
      </c>
      <c r="C109" s="52" t="s">
        <v>168</v>
      </c>
      <c r="D109" s="198" t="s">
        <v>276</v>
      </c>
      <c r="E109" s="95"/>
      <c r="F109" s="95"/>
    </row>
    <row r="110" spans="1:6" s="6" customFormat="1" ht="22.5" customHeight="1" x14ac:dyDescent="0.2">
      <c r="A110" s="70" t="s">
        <v>163</v>
      </c>
      <c r="B110" s="86">
        <f>468+99+60</f>
        <v>627</v>
      </c>
      <c r="C110" s="104" t="s">
        <v>148</v>
      </c>
      <c r="D110" s="199"/>
      <c r="E110" s="94"/>
      <c r="F110" s="94"/>
    </row>
    <row r="111" spans="1:6" s="6" customFormat="1" ht="22.5" customHeight="1" x14ac:dyDescent="0.2">
      <c r="A111" s="69">
        <v>43068</v>
      </c>
      <c r="B111" s="86">
        <v>34.799999999999997</v>
      </c>
      <c r="C111" s="104" t="s">
        <v>117</v>
      </c>
      <c r="D111" s="199"/>
      <c r="E111" s="95"/>
      <c r="F111" s="95"/>
    </row>
    <row r="112" spans="1:6" s="6" customFormat="1" ht="22.5" customHeight="1" x14ac:dyDescent="0.2">
      <c r="A112" s="69">
        <v>43069</v>
      </c>
      <c r="B112" s="86">
        <f>12</f>
        <v>12</v>
      </c>
      <c r="C112" s="104" t="s">
        <v>162</v>
      </c>
      <c r="D112" s="199"/>
      <c r="E112" s="95"/>
      <c r="F112" s="95"/>
    </row>
    <row r="113" spans="1:11" s="6" customFormat="1" ht="22.5" customHeight="1" x14ac:dyDescent="0.2">
      <c r="A113" s="69">
        <v>43072</v>
      </c>
      <c r="B113" s="86">
        <f>71.8</f>
        <v>71.8</v>
      </c>
      <c r="C113" s="104" t="s">
        <v>115</v>
      </c>
      <c r="D113" s="199"/>
      <c r="E113" s="95"/>
      <c r="F113" s="95"/>
    </row>
    <row r="114" spans="1:11" s="6" customFormat="1" ht="22.5" customHeight="1" x14ac:dyDescent="0.2">
      <c r="A114" s="69">
        <v>43072</v>
      </c>
      <c r="B114" s="86">
        <f>37.1</f>
        <v>37.1</v>
      </c>
      <c r="C114" s="104" t="s">
        <v>116</v>
      </c>
      <c r="D114" s="199"/>
      <c r="E114" s="95"/>
      <c r="F114" s="95"/>
    </row>
    <row r="115" spans="1:11" s="6" customFormat="1" ht="22.5" customHeight="1" x14ac:dyDescent="0.2">
      <c r="A115" s="119">
        <v>43118</v>
      </c>
      <c r="B115" s="120">
        <f>47.1</f>
        <v>47.1</v>
      </c>
      <c r="C115" s="52" t="s">
        <v>114</v>
      </c>
      <c r="D115" s="198" t="s">
        <v>276</v>
      </c>
      <c r="E115" s="95"/>
      <c r="F115" s="95"/>
    </row>
    <row r="116" spans="1:11" s="6" customFormat="1" ht="22.5" customHeight="1" x14ac:dyDescent="0.2">
      <c r="A116" s="69">
        <v>43118</v>
      </c>
      <c r="B116" s="86">
        <f>76</f>
        <v>76</v>
      </c>
      <c r="C116" s="104" t="s">
        <v>187</v>
      </c>
      <c r="D116" s="199"/>
      <c r="E116" s="94"/>
      <c r="F116" s="94"/>
    </row>
    <row r="117" spans="1:11" s="6" customFormat="1" ht="22.5" customHeight="1" x14ac:dyDescent="0.2">
      <c r="A117" s="69">
        <v>43118</v>
      </c>
      <c r="B117" s="86">
        <f>78.6</f>
        <v>78.599999999999994</v>
      </c>
      <c r="C117" s="104" t="s">
        <v>117</v>
      </c>
      <c r="D117" s="199"/>
      <c r="E117" s="95"/>
      <c r="F117" s="95"/>
    </row>
    <row r="118" spans="1:11" s="6" customFormat="1" ht="22.5" customHeight="1" x14ac:dyDescent="0.2">
      <c r="A118" s="69">
        <v>43125</v>
      </c>
      <c r="B118" s="86">
        <f>38</f>
        <v>38</v>
      </c>
      <c r="C118" s="104" t="s">
        <v>114</v>
      </c>
      <c r="D118" s="199"/>
      <c r="E118" s="95"/>
      <c r="F118" s="95"/>
    </row>
    <row r="119" spans="1:11" s="6" customFormat="1" ht="22.5" customHeight="1" x14ac:dyDescent="0.2">
      <c r="A119" s="70" t="s">
        <v>188</v>
      </c>
      <c r="B119" s="86">
        <f>545+99</f>
        <v>644</v>
      </c>
      <c r="C119" s="104" t="s">
        <v>148</v>
      </c>
      <c r="D119" s="199"/>
      <c r="E119" s="94"/>
      <c r="F119" s="94"/>
    </row>
    <row r="120" spans="1:11" s="6" customFormat="1" ht="22.5" customHeight="1" x14ac:dyDescent="0.2">
      <c r="A120" s="69">
        <v>43131</v>
      </c>
      <c r="B120" s="86">
        <v>14</v>
      </c>
      <c r="C120" s="104" t="s">
        <v>162</v>
      </c>
      <c r="D120" s="199"/>
      <c r="E120" s="95"/>
      <c r="F120" s="95"/>
    </row>
    <row r="121" spans="1:11" s="6" customFormat="1" ht="22.5" customHeight="1" x14ac:dyDescent="0.2">
      <c r="A121" s="69">
        <v>43131</v>
      </c>
      <c r="B121" s="86">
        <v>18.45</v>
      </c>
      <c r="C121" s="104" t="s">
        <v>162</v>
      </c>
      <c r="D121" s="199"/>
      <c r="E121" s="95"/>
      <c r="F121" s="95"/>
    </row>
    <row r="122" spans="1:11" s="6" customFormat="1" ht="22.5" customHeight="1" x14ac:dyDescent="0.2">
      <c r="A122" s="69">
        <v>43132</v>
      </c>
      <c r="B122" s="86">
        <v>24</v>
      </c>
      <c r="C122" s="104" t="s">
        <v>162</v>
      </c>
      <c r="D122" s="199"/>
      <c r="E122" s="95"/>
      <c r="F122" s="95"/>
    </row>
    <row r="123" spans="1:11" s="6" customFormat="1" ht="22.5" customHeight="1" x14ac:dyDescent="0.2">
      <c r="A123" s="125" t="s">
        <v>189</v>
      </c>
      <c r="B123" s="120">
        <v>97</v>
      </c>
      <c r="C123" s="52" t="s">
        <v>190</v>
      </c>
      <c r="D123" s="198" t="s">
        <v>277</v>
      </c>
      <c r="E123" s="94"/>
      <c r="F123" s="94"/>
    </row>
    <row r="124" spans="1:11" s="6" customFormat="1" ht="30" customHeight="1" x14ac:dyDescent="0.2">
      <c r="A124" s="69" t="s">
        <v>189</v>
      </c>
      <c r="B124" s="86">
        <f>443+10+99+113</f>
        <v>665</v>
      </c>
      <c r="C124" s="104" t="s">
        <v>191</v>
      </c>
      <c r="D124" s="199"/>
      <c r="E124" s="94"/>
      <c r="F124" s="94"/>
      <c r="K124" s="94"/>
    </row>
    <row r="125" spans="1:11" s="6" customFormat="1" ht="24.75" customHeight="1" x14ac:dyDescent="0.2">
      <c r="A125" s="69">
        <v>43135</v>
      </c>
      <c r="B125" s="86">
        <v>60</v>
      </c>
      <c r="C125" s="104" t="s">
        <v>249</v>
      </c>
      <c r="D125" s="199"/>
      <c r="E125" s="94"/>
      <c r="F125" s="94"/>
    </row>
    <row r="126" spans="1:11" s="6" customFormat="1" ht="22.5" customHeight="1" x14ac:dyDescent="0.2">
      <c r="A126" s="69" t="s">
        <v>192</v>
      </c>
      <c r="B126" s="86">
        <f>519</f>
        <v>519</v>
      </c>
      <c r="C126" s="104" t="s">
        <v>145</v>
      </c>
      <c r="D126" s="199"/>
      <c r="E126" s="94"/>
      <c r="F126" s="94"/>
    </row>
    <row r="127" spans="1:11" s="6" customFormat="1" ht="22.5" customHeight="1" x14ac:dyDescent="0.2">
      <c r="A127" s="69">
        <v>43135</v>
      </c>
      <c r="B127" s="86">
        <f>28.5</f>
        <v>28.5</v>
      </c>
      <c r="C127" s="104" t="s">
        <v>193</v>
      </c>
      <c r="D127" s="199"/>
      <c r="E127" s="94"/>
      <c r="F127" s="94"/>
    </row>
    <row r="128" spans="1:11" s="6" customFormat="1" ht="22.5" customHeight="1" x14ac:dyDescent="0.2">
      <c r="A128" s="69" t="s">
        <v>194</v>
      </c>
      <c r="B128" s="86">
        <f>15</f>
        <v>15</v>
      </c>
      <c r="C128" s="104" t="s">
        <v>127</v>
      </c>
      <c r="D128" s="199"/>
      <c r="E128" s="94"/>
      <c r="F128" s="94"/>
    </row>
    <row r="129" spans="1:11" s="6" customFormat="1" ht="22.5" customHeight="1" x14ac:dyDescent="0.2">
      <c r="A129" s="69">
        <v>43138</v>
      </c>
      <c r="B129" s="86">
        <f>73.6</f>
        <v>73.599999999999994</v>
      </c>
      <c r="C129" s="104" t="s">
        <v>115</v>
      </c>
      <c r="D129" s="199"/>
      <c r="E129" s="98"/>
      <c r="F129" s="98"/>
    </row>
    <row r="130" spans="1:11" s="6" customFormat="1" ht="22.5" customHeight="1" x14ac:dyDescent="0.2">
      <c r="A130" s="119">
        <v>43143</v>
      </c>
      <c r="B130" s="120">
        <f>43</f>
        <v>43</v>
      </c>
      <c r="C130" s="52" t="s">
        <v>114</v>
      </c>
      <c r="D130" s="198" t="s">
        <v>250</v>
      </c>
      <c r="E130" s="98"/>
      <c r="F130" s="98"/>
    </row>
    <row r="131" spans="1:11" s="6" customFormat="1" ht="22.5" customHeight="1" x14ac:dyDescent="0.2">
      <c r="A131" s="70" t="s">
        <v>195</v>
      </c>
      <c r="B131" s="86">
        <f>443+99</f>
        <v>542</v>
      </c>
      <c r="C131" s="104" t="s">
        <v>148</v>
      </c>
      <c r="D131" s="199"/>
      <c r="E131" s="94"/>
      <c r="F131" s="94"/>
    </row>
    <row r="132" spans="1:11" s="6" customFormat="1" ht="22.5" customHeight="1" x14ac:dyDescent="0.2">
      <c r="A132" s="69">
        <v>43144</v>
      </c>
      <c r="B132" s="86">
        <v>29.54</v>
      </c>
      <c r="C132" s="104" t="s">
        <v>251</v>
      </c>
      <c r="D132" s="199"/>
      <c r="E132" s="98"/>
      <c r="F132" s="98"/>
    </row>
    <row r="133" spans="1:11" s="6" customFormat="1" ht="22.5" customHeight="1" x14ac:dyDescent="0.2">
      <c r="A133" s="69">
        <v>43144</v>
      </c>
      <c r="B133" s="86">
        <f>77</f>
        <v>77</v>
      </c>
      <c r="C133" s="104" t="s">
        <v>115</v>
      </c>
      <c r="D133" s="199"/>
      <c r="E133" s="98"/>
      <c r="F133" s="98"/>
    </row>
    <row r="134" spans="1:11" s="6" customFormat="1" ht="22.5" customHeight="1" x14ac:dyDescent="0.2">
      <c r="A134" s="69">
        <v>43144</v>
      </c>
      <c r="B134" s="86">
        <f>41.5</f>
        <v>41.5</v>
      </c>
      <c r="C134" s="104" t="s">
        <v>116</v>
      </c>
      <c r="D134" s="199"/>
      <c r="E134" s="98"/>
      <c r="F134" s="98"/>
    </row>
    <row r="135" spans="1:11" s="6" customFormat="1" ht="22.5" customHeight="1" x14ac:dyDescent="0.2">
      <c r="A135" s="125" t="s">
        <v>196</v>
      </c>
      <c r="B135" s="120">
        <f>343+99</f>
        <v>442</v>
      </c>
      <c r="C135" s="52" t="s">
        <v>148</v>
      </c>
      <c r="D135" s="198" t="s">
        <v>231</v>
      </c>
      <c r="E135" s="94"/>
      <c r="F135" s="94"/>
    </row>
    <row r="136" spans="1:11" s="6" customFormat="1" ht="22.5" customHeight="1" x14ac:dyDescent="0.2">
      <c r="A136" s="69">
        <v>43154</v>
      </c>
      <c r="B136" s="86">
        <f>50</f>
        <v>50</v>
      </c>
      <c r="C136" s="104" t="s">
        <v>198</v>
      </c>
      <c r="D136" s="199"/>
      <c r="E136" s="98"/>
      <c r="F136" s="98"/>
    </row>
    <row r="137" spans="1:11" s="6" customFormat="1" ht="22.5" customHeight="1" x14ac:dyDescent="0.2">
      <c r="A137" s="69">
        <v>43157</v>
      </c>
      <c r="B137" s="86">
        <f>105.6</f>
        <v>105.6</v>
      </c>
      <c r="C137" s="104" t="s">
        <v>252</v>
      </c>
      <c r="D137" s="199"/>
      <c r="E137" s="98"/>
      <c r="F137" s="98"/>
    </row>
    <row r="138" spans="1:11" s="6" customFormat="1" ht="30" customHeight="1" x14ac:dyDescent="0.2">
      <c r="A138" s="69">
        <v>43157</v>
      </c>
      <c r="B138" s="86">
        <f>42.1</f>
        <v>42.1</v>
      </c>
      <c r="C138" s="104" t="s">
        <v>253</v>
      </c>
      <c r="D138" s="199"/>
      <c r="E138" s="98"/>
      <c r="F138" s="98"/>
    </row>
    <row r="139" spans="1:11" s="6" customFormat="1" ht="22.5" customHeight="1" x14ac:dyDescent="0.2">
      <c r="A139" s="69">
        <v>43157</v>
      </c>
      <c r="B139" s="86">
        <f>43.6</f>
        <v>43.6</v>
      </c>
      <c r="C139" s="104" t="s">
        <v>116</v>
      </c>
      <c r="D139" s="199"/>
      <c r="E139" s="98"/>
      <c r="F139" s="98"/>
    </row>
    <row r="140" spans="1:11" s="6" customFormat="1" ht="22.5" customHeight="1" x14ac:dyDescent="0.2">
      <c r="A140" s="119">
        <v>43159</v>
      </c>
      <c r="B140" s="120">
        <f>51.4</f>
        <v>51.4</v>
      </c>
      <c r="C140" s="52" t="s">
        <v>114</v>
      </c>
      <c r="D140" s="198" t="s">
        <v>254</v>
      </c>
      <c r="E140" s="94"/>
      <c r="F140" s="94"/>
    </row>
    <row r="141" spans="1:11" s="6" customFormat="1" ht="22.5" customHeight="1" x14ac:dyDescent="0.2">
      <c r="A141" s="69">
        <v>43159</v>
      </c>
      <c r="B141" s="86">
        <f>305+49.5+65+10+4.95</f>
        <v>434.45</v>
      </c>
      <c r="C141" s="104" t="s">
        <v>197</v>
      </c>
      <c r="D141" s="199"/>
      <c r="E141" s="94"/>
      <c r="F141" s="94"/>
    </row>
    <row r="142" spans="1:11" s="6" customFormat="1" ht="22.5" customHeight="1" x14ac:dyDescent="0.2">
      <c r="A142" s="69">
        <v>43159</v>
      </c>
      <c r="B142" s="86">
        <f>28.6</f>
        <v>28.6</v>
      </c>
      <c r="C142" s="104" t="s">
        <v>198</v>
      </c>
      <c r="D142" s="199"/>
      <c r="E142" s="98"/>
      <c r="F142" s="98"/>
    </row>
    <row r="143" spans="1:11" s="6" customFormat="1" ht="22.5" customHeight="1" x14ac:dyDescent="0.2">
      <c r="A143" s="125" t="s">
        <v>199</v>
      </c>
      <c r="B143" s="120">
        <f>297+99+25+4.95</f>
        <v>425.95</v>
      </c>
      <c r="C143" s="52" t="s">
        <v>200</v>
      </c>
      <c r="D143" s="198" t="s">
        <v>255</v>
      </c>
      <c r="E143" s="94"/>
      <c r="F143" s="94"/>
      <c r="K143" s="94"/>
    </row>
    <row r="144" spans="1:11" s="6" customFormat="1" ht="22.5" customHeight="1" x14ac:dyDescent="0.2">
      <c r="A144" s="69">
        <v>43174</v>
      </c>
      <c r="B144" s="86">
        <f>39.6</f>
        <v>39.6</v>
      </c>
      <c r="C144" s="104" t="s">
        <v>114</v>
      </c>
      <c r="D144" s="199"/>
      <c r="E144" s="98"/>
      <c r="F144" s="98"/>
    </row>
    <row r="145" spans="1:6" s="6" customFormat="1" ht="22.5" customHeight="1" x14ac:dyDescent="0.2">
      <c r="A145" s="69">
        <v>43174</v>
      </c>
      <c r="B145" s="86">
        <f>79.6</f>
        <v>79.599999999999994</v>
      </c>
      <c r="C145" s="104" t="s">
        <v>117</v>
      </c>
      <c r="D145" s="199"/>
      <c r="E145" s="98"/>
      <c r="F145" s="98"/>
    </row>
    <row r="146" spans="1:6" s="6" customFormat="1" ht="22.5" customHeight="1" x14ac:dyDescent="0.2">
      <c r="A146" s="69">
        <v>43178</v>
      </c>
      <c r="B146" s="86">
        <f>73.4</f>
        <v>73.400000000000006</v>
      </c>
      <c r="C146" s="104" t="s">
        <v>115</v>
      </c>
      <c r="D146" s="199"/>
      <c r="E146" s="98"/>
      <c r="F146" s="98"/>
    </row>
    <row r="147" spans="1:6" s="6" customFormat="1" ht="22.5" customHeight="1" x14ac:dyDescent="0.2">
      <c r="A147" s="119">
        <v>43181</v>
      </c>
      <c r="B147" s="120">
        <f>24.58</f>
        <v>24.58</v>
      </c>
      <c r="C147" s="52" t="s">
        <v>114</v>
      </c>
      <c r="D147" s="198" t="s">
        <v>232</v>
      </c>
      <c r="E147" s="98"/>
      <c r="F147" s="98"/>
    </row>
    <row r="148" spans="1:6" s="6" customFormat="1" ht="22.5" customHeight="1" x14ac:dyDescent="0.2">
      <c r="A148" s="70" t="s">
        <v>201</v>
      </c>
      <c r="B148" s="86">
        <f>61+10+580+108.9</f>
        <v>759.9</v>
      </c>
      <c r="C148" s="104" t="s">
        <v>148</v>
      </c>
      <c r="D148" s="199"/>
      <c r="E148" s="94"/>
      <c r="F148" s="94"/>
    </row>
    <row r="149" spans="1:6" s="6" customFormat="1" ht="22.5" customHeight="1" x14ac:dyDescent="0.2">
      <c r="A149" s="69">
        <v>43185</v>
      </c>
      <c r="B149" s="86">
        <f>74.2</f>
        <v>74.2</v>
      </c>
      <c r="C149" s="104" t="s">
        <v>115</v>
      </c>
      <c r="D149" s="199"/>
      <c r="E149" s="98"/>
      <c r="F149" s="98"/>
    </row>
    <row r="150" spans="1:6" s="6" customFormat="1" ht="22.5" customHeight="1" x14ac:dyDescent="0.2">
      <c r="A150" s="69">
        <v>43185</v>
      </c>
      <c r="B150" s="86">
        <f>48.4</f>
        <v>48.4</v>
      </c>
      <c r="C150" s="104" t="s">
        <v>116</v>
      </c>
      <c r="D150" s="199"/>
      <c r="E150" s="98"/>
      <c r="F150" s="98"/>
    </row>
    <row r="151" spans="1:6" s="6" customFormat="1" ht="27.75" customHeight="1" x14ac:dyDescent="0.2">
      <c r="A151" s="119">
        <v>43187</v>
      </c>
      <c r="B151" s="120">
        <f>191+99+297+4.95</f>
        <v>591.95000000000005</v>
      </c>
      <c r="C151" s="52" t="s">
        <v>200</v>
      </c>
      <c r="D151" s="198" t="s">
        <v>256</v>
      </c>
      <c r="E151" s="94"/>
      <c r="F151" s="94"/>
    </row>
    <row r="152" spans="1:6" s="6" customFormat="1" ht="20.65" customHeight="1" x14ac:dyDescent="0.2">
      <c r="A152" s="69">
        <v>43187</v>
      </c>
      <c r="B152" s="86">
        <v>36.43</v>
      </c>
      <c r="C152" s="104" t="s">
        <v>114</v>
      </c>
      <c r="D152" s="199"/>
      <c r="E152" s="98"/>
      <c r="F152" s="98"/>
    </row>
    <row r="153" spans="1:6" s="6" customFormat="1" ht="24.75" customHeight="1" x14ac:dyDescent="0.2">
      <c r="A153" s="119">
        <v>43193</v>
      </c>
      <c r="B153" s="120">
        <v>82</v>
      </c>
      <c r="C153" s="52" t="s">
        <v>115</v>
      </c>
      <c r="D153" s="198" t="s">
        <v>158</v>
      </c>
      <c r="E153" s="98"/>
      <c r="F153" s="98"/>
    </row>
    <row r="154" spans="1:6" s="6" customFormat="1" ht="24.75" customHeight="1" x14ac:dyDescent="0.2">
      <c r="A154" s="69">
        <v>43193</v>
      </c>
      <c r="B154" s="86">
        <v>258.5</v>
      </c>
      <c r="C154" s="104" t="s">
        <v>208</v>
      </c>
      <c r="D154" s="199"/>
      <c r="E154" s="94"/>
      <c r="F154" s="94"/>
    </row>
    <row r="155" spans="1:6" s="6" customFormat="1" ht="22.5" customHeight="1" x14ac:dyDescent="0.2">
      <c r="A155" s="119">
        <v>43193</v>
      </c>
      <c r="B155" s="120">
        <v>43</v>
      </c>
      <c r="C155" s="52" t="s">
        <v>116</v>
      </c>
      <c r="D155" s="198" t="s">
        <v>257</v>
      </c>
      <c r="E155" s="98"/>
      <c r="F155" s="98"/>
    </row>
    <row r="156" spans="1:6" s="6" customFormat="1" ht="22.5" customHeight="1" x14ac:dyDescent="0.2">
      <c r="A156" s="69">
        <v>43203</v>
      </c>
      <c r="B156" s="86">
        <v>35.799999999999997</v>
      </c>
      <c r="C156" s="104" t="s">
        <v>114</v>
      </c>
      <c r="D156" s="199"/>
      <c r="E156" s="98"/>
      <c r="F156" s="98"/>
    </row>
    <row r="157" spans="1:6" s="6" customFormat="1" ht="22.5" customHeight="1" x14ac:dyDescent="0.2">
      <c r="A157" s="69">
        <v>43203</v>
      </c>
      <c r="B157" s="86">
        <v>719.9</v>
      </c>
      <c r="C157" s="104" t="s">
        <v>148</v>
      </c>
      <c r="D157" s="199"/>
      <c r="E157" s="94"/>
      <c r="F157" s="94"/>
    </row>
    <row r="158" spans="1:6" s="6" customFormat="1" ht="22.5" customHeight="1" x14ac:dyDescent="0.2">
      <c r="A158" s="119">
        <v>43203</v>
      </c>
      <c r="B158" s="120">
        <v>33</v>
      </c>
      <c r="C158" s="52" t="s">
        <v>117</v>
      </c>
      <c r="D158" s="126" t="s">
        <v>258</v>
      </c>
      <c r="E158" s="98"/>
      <c r="F158" s="98"/>
    </row>
    <row r="159" spans="1:6" s="6" customFormat="1" ht="23.25" customHeight="1" x14ac:dyDescent="0.2">
      <c r="A159" s="119">
        <v>43209</v>
      </c>
      <c r="B159" s="120">
        <v>25.19</v>
      </c>
      <c r="C159" s="52" t="s">
        <v>227</v>
      </c>
      <c r="D159" s="198" t="s">
        <v>259</v>
      </c>
      <c r="E159" s="98"/>
      <c r="F159" s="98"/>
    </row>
    <row r="160" spans="1:6" s="6" customFormat="1" ht="22.5" customHeight="1" x14ac:dyDescent="0.2">
      <c r="A160" s="70" t="s">
        <v>209</v>
      </c>
      <c r="B160" s="86">
        <v>678.9</v>
      </c>
      <c r="C160" s="104" t="s">
        <v>148</v>
      </c>
      <c r="D160" s="199"/>
      <c r="E160" s="94"/>
      <c r="F160" s="94"/>
    </row>
    <row r="161" spans="1:6" s="6" customFormat="1" ht="22.5" customHeight="1" x14ac:dyDescent="0.2">
      <c r="A161" s="69">
        <v>43209</v>
      </c>
      <c r="B161" s="86">
        <v>43.8</v>
      </c>
      <c r="C161" s="104" t="s">
        <v>117</v>
      </c>
      <c r="D161" s="199"/>
      <c r="E161" s="98"/>
      <c r="F161" s="98"/>
    </row>
    <row r="162" spans="1:6" s="6" customFormat="1" ht="30" customHeight="1" x14ac:dyDescent="0.2">
      <c r="A162" s="119">
        <v>43210</v>
      </c>
      <c r="B162" s="120">
        <v>16</v>
      </c>
      <c r="C162" s="52" t="s">
        <v>162</v>
      </c>
      <c r="D162" s="126" t="s">
        <v>139</v>
      </c>
      <c r="E162" s="98"/>
      <c r="F162" s="98"/>
    </row>
    <row r="163" spans="1:6" s="6" customFormat="1" ht="30" customHeight="1" x14ac:dyDescent="0.2">
      <c r="A163" s="119">
        <v>43214</v>
      </c>
      <c r="B163" s="120">
        <v>16</v>
      </c>
      <c r="C163" s="52" t="s">
        <v>162</v>
      </c>
      <c r="D163" s="126" t="s">
        <v>260</v>
      </c>
      <c r="E163" s="98"/>
      <c r="F163" s="98"/>
    </row>
    <row r="164" spans="1:6" s="6" customFormat="1" ht="22.5" customHeight="1" x14ac:dyDescent="0.2">
      <c r="A164" s="119">
        <v>43216</v>
      </c>
      <c r="B164" s="120">
        <v>45.6</v>
      </c>
      <c r="C164" s="52" t="s">
        <v>116</v>
      </c>
      <c r="D164" s="126" t="s">
        <v>158</v>
      </c>
      <c r="E164" s="98"/>
      <c r="F164" s="98"/>
    </row>
    <row r="165" spans="1:6" s="6" customFormat="1" ht="30" customHeight="1" x14ac:dyDescent="0.2">
      <c r="A165" s="119">
        <v>43216</v>
      </c>
      <c r="B165" s="120">
        <v>53</v>
      </c>
      <c r="C165" s="52" t="s">
        <v>190</v>
      </c>
      <c r="D165" s="126" t="s">
        <v>139</v>
      </c>
      <c r="E165" s="98"/>
      <c r="F165" s="98"/>
    </row>
    <row r="166" spans="1:6" s="6" customFormat="1" ht="30" customHeight="1" x14ac:dyDescent="0.2">
      <c r="A166" s="119">
        <v>43216</v>
      </c>
      <c r="B166" s="120">
        <v>42.8</v>
      </c>
      <c r="C166" s="52" t="s">
        <v>114</v>
      </c>
      <c r="D166" s="126" t="s">
        <v>139</v>
      </c>
      <c r="E166" s="98"/>
      <c r="F166" s="98"/>
    </row>
    <row r="167" spans="1:6" s="6" customFormat="1" ht="22.5" customHeight="1" x14ac:dyDescent="0.2">
      <c r="A167" s="119">
        <v>43221</v>
      </c>
      <c r="B167" s="120">
        <v>40.5</v>
      </c>
      <c r="C167" s="52" t="s">
        <v>114</v>
      </c>
      <c r="D167" s="198" t="s">
        <v>233</v>
      </c>
      <c r="E167" s="98"/>
      <c r="F167" s="98"/>
    </row>
    <row r="168" spans="1:6" s="6" customFormat="1" ht="22.5" customHeight="1" x14ac:dyDescent="0.2">
      <c r="A168" s="70" t="s">
        <v>210</v>
      </c>
      <c r="B168" s="86">
        <v>345</v>
      </c>
      <c r="C168" s="104" t="s">
        <v>211</v>
      </c>
      <c r="D168" s="199"/>
      <c r="E168" s="94"/>
      <c r="F168" s="94"/>
    </row>
    <row r="169" spans="1:6" s="6" customFormat="1" ht="22.5" customHeight="1" x14ac:dyDescent="0.2">
      <c r="A169" s="69">
        <v>43221</v>
      </c>
      <c r="B169" s="86">
        <v>315.79000000000002</v>
      </c>
      <c r="C169" s="104" t="s">
        <v>225</v>
      </c>
      <c r="D169" s="199"/>
      <c r="E169" s="98"/>
      <c r="F169" s="98"/>
    </row>
    <row r="170" spans="1:6" s="6" customFormat="1" ht="22.5" customHeight="1" x14ac:dyDescent="0.2">
      <c r="A170" s="69">
        <v>43221</v>
      </c>
      <c r="B170" s="86">
        <v>149</v>
      </c>
      <c r="C170" s="104" t="s">
        <v>145</v>
      </c>
      <c r="D170" s="199"/>
      <c r="E170" s="98"/>
      <c r="F170" s="98"/>
    </row>
    <row r="171" spans="1:6" s="6" customFormat="1" ht="22.5" customHeight="1" x14ac:dyDescent="0.2">
      <c r="A171" s="69">
        <v>43222</v>
      </c>
      <c r="B171" s="86">
        <v>42.5</v>
      </c>
      <c r="C171" s="104" t="s">
        <v>116</v>
      </c>
      <c r="D171" s="199"/>
      <c r="E171" s="98"/>
      <c r="F171" s="98"/>
    </row>
    <row r="172" spans="1:6" s="6" customFormat="1" ht="22.5" customHeight="1" x14ac:dyDescent="0.2">
      <c r="A172" s="119">
        <v>43222</v>
      </c>
      <c r="B172" s="120">
        <v>41.5</v>
      </c>
      <c r="C172" s="52" t="s">
        <v>114</v>
      </c>
      <c r="D172" s="198" t="s">
        <v>226</v>
      </c>
      <c r="E172" s="98"/>
      <c r="F172" s="98"/>
    </row>
    <row r="173" spans="1:6" s="6" customFormat="1" ht="22.5" customHeight="1" x14ac:dyDescent="0.2">
      <c r="A173" s="70" t="s">
        <v>213</v>
      </c>
      <c r="B173" s="86">
        <v>568.9</v>
      </c>
      <c r="C173" s="104" t="s">
        <v>212</v>
      </c>
      <c r="D173" s="199"/>
      <c r="E173" s="94"/>
      <c r="F173" s="94"/>
    </row>
    <row r="174" spans="1:6" s="6" customFormat="1" ht="22.5" customHeight="1" x14ac:dyDescent="0.2">
      <c r="A174" s="70" t="s">
        <v>213</v>
      </c>
      <c r="B174" s="86">
        <v>69.819999999999993</v>
      </c>
      <c r="C174" s="104" t="s">
        <v>214</v>
      </c>
      <c r="D174" s="199"/>
      <c r="E174" s="98"/>
      <c r="F174" s="98"/>
    </row>
    <row r="175" spans="1:6" s="6" customFormat="1" ht="22.5" customHeight="1" x14ac:dyDescent="0.2">
      <c r="A175" s="69">
        <v>43222</v>
      </c>
      <c r="B175" s="86">
        <v>279</v>
      </c>
      <c r="C175" s="104" t="s">
        <v>145</v>
      </c>
      <c r="D175" s="199"/>
      <c r="E175" s="98"/>
      <c r="F175" s="98"/>
    </row>
    <row r="176" spans="1:6" s="6" customFormat="1" ht="22.5" customHeight="1" x14ac:dyDescent="0.2">
      <c r="A176" s="69">
        <v>43222</v>
      </c>
      <c r="B176" s="86">
        <v>25</v>
      </c>
      <c r="C176" s="104" t="s">
        <v>215</v>
      </c>
      <c r="D176" s="199"/>
      <c r="E176" s="98"/>
      <c r="F176" s="98"/>
    </row>
    <row r="177" spans="1:6" s="6" customFormat="1" ht="22.5" customHeight="1" x14ac:dyDescent="0.2">
      <c r="A177" s="69">
        <v>43223</v>
      </c>
      <c r="B177" s="86">
        <v>39.5</v>
      </c>
      <c r="C177" s="104" t="s">
        <v>116</v>
      </c>
      <c r="D177" s="199"/>
      <c r="E177" s="98"/>
      <c r="F177" s="98"/>
    </row>
    <row r="178" spans="1:6" s="6" customFormat="1" ht="30" customHeight="1" x14ac:dyDescent="0.2">
      <c r="A178" s="119">
        <v>43223</v>
      </c>
      <c r="B178" s="120">
        <v>46.9</v>
      </c>
      <c r="C178" s="52" t="s">
        <v>114</v>
      </c>
      <c r="D178" s="126" t="s">
        <v>139</v>
      </c>
      <c r="E178" s="98"/>
      <c r="F178" s="98"/>
    </row>
    <row r="179" spans="1:6" s="6" customFormat="1" ht="30" customHeight="1" x14ac:dyDescent="0.2">
      <c r="A179" s="119">
        <v>43223</v>
      </c>
      <c r="B179" s="120">
        <v>31.3</v>
      </c>
      <c r="C179" s="52" t="s">
        <v>117</v>
      </c>
      <c r="D179" s="126" t="s">
        <v>139</v>
      </c>
      <c r="E179" s="98"/>
      <c r="F179" s="98"/>
    </row>
    <row r="180" spans="1:6" s="6" customFormat="1" ht="22.5" customHeight="1" x14ac:dyDescent="0.2">
      <c r="A180" s="119">
        <v>43228</v>
      </c>
      <c r="B180" s="120">
        <v>32</v>
      </c>
      <c r="C180" s="52" t="s">
        <v>114</v>
      </c>
      <c r="D180" s="198" t="s">
        <v>261</v>
      </c>
      <c r="E180" s="98"/>
      <c r="F180" s="98"/>
    </row>
    <row r="181" spans="1:6" s="6" customFormat="1" ht="22.5" customHeight="1" x14ac:dyDescent="0.2">
      <c r="A181" s="70" t="s">
        <v>216</v>
      </c>
      <c r="B181" s="86">
        <v>348.9</v>
      </c>
      <c r="C181" s="104" t="s">
        <v>148</v>
      </c>
      <c r="D181" s="199"/>
      <c r="E181" s="98"/>
      <c r="F181" s="98"/>
    </row>
    <row r="182" spans="1:6" s="6" customFormat="1" ht="22.5" customHeight="1" x14ac:dyDescent="0.2">
      <c r="A182" s="69">
        <v>43230</v>
      </c>
      <c r="B182" s="86">
        <v>24</v>
      </c>
      <c r="C182" s="104" t="s">
        <v>162</v>
      </c>
      <c r="D182" s="199"/>
      <c r="E182" s="98"/>
      <c r="F182" s="98"/>
    </row>
    <row r="183" spans="1:6" s="6" customFormat="1" ht="22.5" customHeight="1" x14ac:dyDescent="0.2">
      <c r="A183" s="69">
        <v>43234</v>
      </c>
      <c r="B183" s="86">
        <v>45.21</v>
      </c>
      <c r="C183" s="104" t="s">
        <v>115</v>
      </c>
      <c r="D183" s="199"/>
      <c r="E183" s="98"/>
      <c r="F183" s="98"/>
    </row>
    <row r="184" spans="1:6" s="6" customFormat="1" ht="22.5" customHeight="1" x14ac:dyDescent="0.2">
      <c r="A184" s="119">
        <v>43235</v>
      </c>
      <c r="B184" s="120">
        <v>41.6</v>
      </c>
      <c r="C184" s="52" t="s">
        <v>114</v>
      </c>
      <c r="D184" s="198" t="s">
        <v>262</v>
      </c>
      <c r="E184" s="94"/>
      <c r="F184" s="94"/>
    </row>
    <row r="185" spans="1:6" s="6" customFormat="1" ht="22.5" customHeight="1" x14ac:dyDescent="0.2">
      <c r="A185" s="69">
        <v>43236</v>
      </c>
      <c r="B185" s="86">
        <v>36.35</v>
      </c>
      <c r="C185" s="104" t="s">
        <v>278</v>
      </c>
      <c r="D185" s="199"/>
      <c r="E185" s="94"/>
      <c r="F185" s="94"/>
    </row>
    <row r="186" spans="1:6" s="6" customFormat="1" ht="22.5" customHeight="1" x14ac:dyDescent="0.2">
      <c r="A186" s="69">
        <v>43236</v>
      </c>
      <c r="B186" s="86">
        <v>31.8</v>
      </c>
      <c r="C186" s="104" t="s">
        <v>217</v>
      </c>
      <c r="D186" s="199"/>
      <c r="E186" s="94"/>
      <c r="F186" s="94"/>
    </row>
    <row r="187" spans="1:6" s="6" customFormat="1" ht="22.5" customHeight="1" x14ac:dyDescent="0.2">
      <c r="A187" s="69">
        <v>43236</v>
      </c>
      <c r="B187" s="86">
        <v>42.3</v>
      </c>
      <c r="C187" s="104" t="s">
        <v>116</v>
      </c>
      <c r="D187" s="199"/>
      <c r="E187" s="94"/>
      <c r="F187" s="94"/>
    </row>
    <row r="188" spans="1:6" s="6" customFormat="1" ht="30" customHeight="1" x14ac:dyDescent="0.2">
      <c r="A188" s="119">
        <v>43237</v>
      </c>
      <c r="B188" s="120">
        <v>40.799999999999997</v>
      </c>
      <c r="C188" s="52" t="s">
        <v>114</v>
      </c>
      <c r="D188" s="198" t="s">
        <v>139</v>
      </c>
      <c r="E188" s="98"/>
      <c r="F188" s="98"/>
    </row>
    <row r="189" spans="1:6" s="6" customFormat="1" ht="30" customHeight="1" x14ac:dyDescent="0.2">
      <c r="A189" s="69">
        <v>43238</v>
      </c>
      <c r="B189" s="86">
        <v>6</v>
      </c>
      <c r="C189" s="104" t="s">
        <v>162</v>
      </c>
      <c r="D189" s="199"/>
      <c r="E189" s="98"/>
      <c r="F189" s="98"/>
    </row>
    <row r="190" spans="1:6" s="6" customFormat="1" ht="22.5" customHeight="1" x14ac:dyDescent="0.2">
      <c r="A190" s="119">
        <v>43244</v>
      </c>
      <c r="B190" s="120">
        <v>56.7</v>
      </c>
      <c r="C190" s="52" t="s">
        <v>114</v>
      </c>
      <c r="D190" s="198" t="s">
        <v>263</v>
      </c>
      <c r="E190" s="98"/>
      <c r="F190" s="98"/>
    </row>
    <row r="191" spans="1:6" s="6" customFormat="1" ht="22.5" customHeight="1" x14ac:dyDescent="0.2">
      <c r="A191" s="70" t="s">
        <v>219</v>
      </c>
      <c r="B191" s="86">
        <v>548.9</v>
      </c>
      <c r="C191" s="104" t="s">
        <v>126</v>
      </c>
      <c r="D191" s="199"/>
      <c r="E191" s="94"/>
      <c r="F191" s="94"/>
    </row>
    <row r="192" spans="1:6" s="6" customFormat="1" ht="22.5" customHeight="1" x14ac:dyDescent="0.2">
      <c r="A192" s="69">
        <v>43244</v>
      </c>
      <c r="B192" s="86">
        <v>41.6</v>
      </c>
      <c r="C192" s="104" t="s">
        <v>117</v>
      </c>
      <c r="D192" s="199"/>
      <c r="E192" s="98"/>
      <c r="F192" s="98"/>
    </row>
    <row r="193" spans="1:6" s="6" customFormat="1" ht="22.5" customHeight="1" x14ac:dyDescent="0.2">
      <c r="A193" s="69">
        <v>43245</v>
      </c>
      <c r="B193" s="86">
        <v>12</v>
      </c>
      <c r="C193" s="104" t="s">
        <v>162</v>
      </c>
      <c r="D193" s="199"/>
      <c r="E193" s="98"/>
      <c r="F193" s="98"/>
    </row>
    <row r="194" spans="1:6" s="6" customFormat="1" ht="22.5" customHeight="1" x14ac:dyDescent="0.2">
      <c r="A194" s="69">
        <v>43248</v>
      </c>
      <c r="B194" s="86">
        <v>40.54</v>
      </c>
      <c r="C194" s="104" t="s">
        <v>115</v>
      </c>
      <c r="D194" s="199"/>
      <c r="E194" s="98"/>
      <c r="F194" s="98"/>
    </row>
    <row r="195" spans="1:6" s="6" customFormat="1" ht="22.5" customHeight="1" x14ac:dyDescent="0.2">
      <c r="A195" s="69">
        <v>43248</v>
      </c>
      <c r="B195" s="86">
        <v>30.61</v>
      </c>
      <c r="C195" s="104" t="s">
        <v>116</v>
      </c>
      <c r="D195" s="199"/>
      <c r="E195" s="98"/>
      <c r="F195" s="98"/>
    </row>
    <row r="196" spans="1:6" s="6" customFormat="1" ht="22.5" customHeight="1" x14ac:dyDescent="0.2">
      <c r="A196" s="119">
        <v>43251</v>
      </c>
      <c r="B196" s="120">
        <v>24.52</v>
      </c>
      <c r="C196" s="52" t="s">
        <v>114</v>
      </c>
      <c r="D196" s="198" t="s">
        <v>139</v>
      </c>
      <c r="E196" s="98"/>
      <c r="F196" s="98"/>
    </row>
    <row r="197" spans="1:6" s="6" customFormat="1" ht="22.5" customHeight="1" x14ac:dyDescent="0.2">
      <c r="A197" s="69">
        <v>43251</v>
      </c>
      <c r="B197" s="86">
        <v>37.200000000000003</v>
      </c>
      <c r="C197" s="104" t="s">
        <v>117</v>
      </c>
      <c r="D197" s="199"/>
      <c r="E197" s="98"/>
      <c r="F197" s="98"/>
    </row>
    <row r="198" spans="1:6" s="6" customFormat="1" ht="22.5" customHeight="1" x14ac:dyDescent="0.2">
      <c r="A198" s="119">
        <v>43255</v>
      </c>
      <c r="B198" s="120">
        <v>23.39</v>
      </c>
      <c r="C198" s="52" t="s">
        <v>115</v>
      </c>
      <c r="D198" s="198" t="s">
        <v>264</v>
      </c>
      <c r="E198" s="98"/>
      <c r="F198" s="98"/>
    </row>
    <row r="199" spans="1:6" s="6" customFormat="1" ht="22.5" customHeight="1" x14ac:dyDescent="0.2">
      <c r="A199" s="69">
        <v>43255</v>
      </c>
      <c r="B199" s="86">
        <v>20.079999999999998</v>
      </c>
      <c r="C199" s="104" t="s">
        <v>116</v>
      </c>
      <c r="D199" s="199"/>
      <c r="E199" s="98"/>
      <c r="F199" s="98"/>
    </row>
    <row r="200" spans="1:6" s="6" customFormat="1" ht="22.5" customHeight="1" x14ac:dyDescent="0.2">
      <c r="A200" s="70" t="s">
        <v>220</v>
      </c>
      <c r="B200" s="86">
        <v>567.9</v>
      </c>
      <c r="C200" s="104" t="s">
        <v>126</v>
      </c>
      <c r="D200" s="199"/>
      <c r="E200" s="98"/>
      <c r="F200" s="98"/>
    </row>
    <row r="201" spans="1:6" s="6" customFormat="1" ht="22.5" customHeight="1" x14ac:dyDescent="0.2">
      <c r="A201" s="69">
        <v>43256</v>
      </c>
      <c r="B201" s="86">
        <v>33.6</v>
      </c>
      <c r="C201" s="104" t="s">
        <v>117</v>
      </c>
      <c r="D201" s="199"/>
      <c r="E201" s="98"/>
      <c r="F201" s="98"/>
    </row>
    <row r="202" spans="1:6" s="6" customFormat="1" ht="22.5" customHeight="1" x14ac:dyDescent="0.2">
      <c r="A202" s="125" t="s">
        <v>221</v>
      </c>
      <c r="B202" s="120">
        <v>610.9</v>
      </c>
      <c r="C202" s="52" t="s">
        <v>126</v>
      </c>
      <c r="D202" s="198" t="s">
        <v>224</v>
      </c>
      <c r="E202" s="94"/>
      <c r="F202" s="94"/>
    </row>
    <row r="203" spans="1:6" s="6" customFormat="1" ht="22.5" customHeight="1" x14ac:dyDescent="0.2">
      <c r="A203" s="69">
        <v>43262</v>
      </c>
      <c r="B203" s="86">
        <v>21.32</v>
      </c>
      <c r="C203" s="104" t="s">
        <v>115</v>
      </c>
      <c r="D203" s="199"/>
      <c r="E203" s="98"/>
      <c r="F203" s="98"/>
    </row>
    <row r="204" spans="1:6" s="6" customFormat="1" ht="22.5" customHeight="1" x14ac:dyDescent="0.2">
      <c r="A204" s="69">
        <v>43262</v>
      </c>
      <c r="B204" s="86">
        <v>23.86</v>
      </c>
      <c r="C204" s="104" t="s">
        <v>116</v>
      </c>
      <c r="D204" s="199"/>
      <c r="E204" s="98"/>
      <c r="F204" s="98"/>
    </row>
    <row r="205" spans="1:6" s="6" customFormat="1" ht="22.5" customHeight="1" x14ac:dyDescent="0.2">
      <c r="A205" s="119">
        <v>43265</v>
      </c>
      <c r="B205" s="120">
        <v>24.83</v>
      </c>
      <c r="C205" s="52" t="s">
        <v>114</v>
      </c>
      <c r="D205" s="198" t="s">
        <v>265</v>
      </c>
      <c r="E205" s="98"/>
      <c r="F205" s="98"/>
    </row>
    <row r="206" spans="1:6" s="6" customFormat="1" ht="22.5" customHeight="1" x14ac:dyDescent="0.2">
      <c r="A206" s="70" t="s">
        <v>222</v>
      </c>
      <c r="B206" s="86">
        <v>567.9</v>
      </c>
      <c r="C206" s="104" t="s">
        <v>126</v>
      </c>
      <c r="D206" s="199"/>
      <c r="E206" s="94"/>
      <c r="F206" s="94"/>
    </row>
    <row r="207" spans="1:6" s="6" customFormat="1" ht="22.5" customHeight="1" x14ac:dyDescent="0.2">
      <c r="A207" s="69">
        <v>43265</v>
      </c>
      <c r="B207" s="86">
        <v>31.8</v>
      </c>
      <c r="C207" s="104" t="s">
        <v>117</v>
      </c>
      <c r="D207" s="199"/>
      <c r="E207" s="98"/>
      <c r="F207" s="98"/>
    </row>
    <row r="208" spans="1:6" s="6" customFormat="1" ht="22.5" customHeight="1" x14ac:dyDescent="0.2">
      <c r="A208" s="69">
        <v>43269</v>
      </c>
      <c r="B208" s="86">
        <v>19.29</v>
      </c>
      <c r="C208" s="104" t="s">
        <v>115</v>
      </c>
      <c r="D208" s="199"/>
      <c r="E208" s="98"/>
      <c r="F208" s="98"/>
    </row>
    <row r="209" spans="1:6" s="6" customFormat="1" ht="22.5" customHeight="1" x14ac:dyDescent="0.2">
      <c r="A209" s="125" t="s">
        <v>223</v>
      </c>
      <c r="B209" s="120">
        <v>557.9</v>
      </c>
      <c r="C209" s="52" t="s">
        <v>126</v>
      </c>
      <c r="D209" s="198" t="s">
        <v>266</v>
      </c>
      <c r="E209" s="94"/>
      <c r="F209" s="94"/>
    </row>
    <row r="210" spans="1:6" s="6" customFormat="1" ht="22.5" customHeight="1" x14ac:dyDescent="0.2">
      <c r="A210" s="69">
        <v>43272</v>
      </c>
      <c r="B210" s="86">
        <v>33.4</v>
      </c>
      <c r="C210" s="104" t="s">
        <v>117</v>
      </c>
      <c r="D210" s="199"/>
      <c r="E210" s="94"/>
      <c r="F210" s="94"/>
    </row>
    <row r="211" spans="1:6" s="6" customFormat="1" ht="22.5" customHeight="1" x14ac:dyDescent="0.2">
      <c r="A211" s="69">
        <v>43276</v>
      </c>
      <c r="B211" s="86">
        <v>19.600000000000001</v>
      </c>
      <c r="C211" s="104" t="s">
        <v>115</v>
      </c>
      <c r="D211" s="199"/>
      <c r="E211" s="94"/>
      <c r="F211" s="94"/>
    </row>
    <row r="212" spans="1:6" s="6" customFormat="1" ht="22.5" customHeight="1" x14ac:dyDescent="0.2">
      <c r="A212" s="69">
        <v>43276</v>
      </c>
      <c r="B212" s="86">
        <v>24.17</v>
      </c>
      <c r="C212" s="104" t="s">
        <v>116</v>
      </c>
      <c r="D212" s="199"/>
      <c r="E212" s="94"/>
      <c r="F212" s="94"/>
    </row>
    <row r="213" spans="1:6" s="6" customFormat="1" ht="22.5" customHeight="1" x14ac:dyDescent="0.2">
      <c r="A213" s="119">
        <v>43279</v>
      </c>
      <c r="B213" s="120">
        <v>44.6</v>
      </c>
      <c r="C213" s="52" t="s">
        <v>114</v>
      </c>
      <c r="D213" s="198" t="s">
        <v>139</v>
      </c>
      <c r="E213" s="98"/>
      <c r="F213" s="98"/>
    </row>
    <row r="214" spans="1:6" s="97" customFormat="1" ht="22.5" customHeight="1" x14ac:dyDescent="0.2">
      <c r="A214" s="69">
        <v>43279</v>
      </c>
      <c r="B214" s="86">
        <v>524.9</v>
      </c>
      <c r="C214" s="104" t="s">
        <v>126</v>
      </c>
      <c r="D214" s="199"/>
      <c r="E214" s="20"/>
      <c r="F214" s="20"/>
    </row>
    <row r="215" spans="1:6" s="6" customFormat="1" ht="22.5" customHeight="1" x14ac:dyDescent="0.2">
      <c r="A215" s="117">
        <v>43279</v>
      </c>
      <c r="B215" s="118">
        <v>29.4</v>
      </c>
      <c r="C215" s="54" t="s">
        <v>117</v>
      </c>
      <c r="D215" s="219"/>
      <c r="E215" s="98"/>
      <c r="F215" s="98"/>
    </row>
    <row r="216" spans="1:6" ht="12" customHeight="1" x14ac:dyDescent="0.2">
      <c r="C216" s="89"/>
      <c r="D216" s="100"/>
      <c r="E216" s="89"/>
      <c r="F216" s="89"/>
    </row>
    <row r="217" spans="1:6" ht="12" customHeight="1" x14ac:dyDescent="0.2">
      <c r="A217" s="60"/>
      <c r="B217" s="64"/>
      <c r="C217" s="96"/>
      <c r="D217" s="96"/>
      <c r="E217" s="81"/>
      <c r="F217" s="81"/>
    </row>
    <row r="218" spans="1:6" ht="12" customHeight="1" x14ac:dyDescent="0.2">
      <c r="A218" s="60"/>
      <c r="B218" s="64"/>
      <c r="C218" s="40"/>
      <c r="D218" s="100"/>
      <c r="E218" s="81"/>
      <c r="F218" s="81"/>
    </row>
    <row r="219" spans="1:6" s="19" customFormat="1" ht="19.5" customHeight="1" x14ac:dyDescent="0.2">
      <c r="A219" s="172" t="s">
        <v>4</v>
      </c>
      <c r="B219" s="173">
        <f>SUM(B34:B218)</f>
        <v>27323.370000000017</v>
      </c>
      <c r="C219" s="145"/>
      <c r="D219" s="145"/>
      <c r="E219" s="145"/>
      <c r="F219" s="145"/>
    </row>
    <row r="220" spans="1:6" ht="32.25" customHeight="1" x14ac:dyDescent="0.2">
      <c r="A220" s="214" t="s">
        <v>16</v>
      </c>
      <c r="B220" s="215"/>
      <c r="C220" s="215"/>
      <c r="D220" s="177"/>
      <c r="E220" s="4"/>
      <c r="F220" s="3"/>
    </row>
    <row r="221" spans="1:6" s="19" customFormat="1" ht="25.5" customHeight="1" x14ac:dyDescent="0.2">
      <c r="A221" s="174" t="s">
        <v>0</v>
      </c>
      <c r="B221" s="175" t="s">
        <v>101</v>
      </c>
      <c r="C221" s="176" t="s">
        <v>11</v>
      </c>
      <c r="D221" s="176" t="s">
        <v>61</v>
      </c>
      <c r="E221" s="111"/>
      <c r="F221" s="111"/>
    </row>
    <row r="222" spans="1:6" ht="30" customHeight="1" x14ac:dyDescent="0.2">
      <c r="A222" s="121">
        <v>42998</v>
      </c>
      <c r="B222" s="122">
        <v>13</v>
      </c>
      <c r="C222" s="123" t="s">
        <v>122</v>
      </c>
      <c r="D222" s="124" t="s">
        <v>123</v>
      </c>
      <c r="E222" s="81"/>
      <c r="F222" s="81"/>
    </row>
    <row r="223" spans="1:6" s="6" customFormat="1" ht="42" customHeight="1" x14ac:dyDescent="0.2">
      <c r="A223" s="138">
        <v>43008</v>
      </c>
      <c r="B223" s="139">
        <v>16.899999999999999</v>
      </c>
      <c r="C223" s="14" t="s">
        <v>239</v>
      </c>
      <c r="D223" s="140" t="s">
        <v>130</v>
      </c>
      <c r="E223" s="98"/>
      <c r="F223" s="98"/>
    </row>
    <row r="224" spans="1:6" s="6" customFormat="1" ht="30" customHeight="1" x14ac:dyDescent="0.2">
      <c r="A224" s="138">
        <v>43008</v>
      </c>
      <c r="B224" s="139">
        <v>31</v>
      </c>
      <c r="C224" s="14" t="s">
        <v>140</v>
      </c>
      <c r="D224" s="140" t="s">
        <v>267</v>
      </c>
      <c r="E224" s="80"/>
      <c r="F224" s="80"/>
    </row>
    <row r="225" spans="1:6" ht="30" customHeight="1" x14ac:dyDescent="0.2">
      <c r="A225" s="121">
        <v>43026</v>
      </c>
      <c r="B225" s="122">
        <v>11.2</v>
      </c>
      <c r="C225" s="123" t="s">
        <v>140</v>
      </c>
      <c r="D225" s="124" t="s">
        <v>268</v>
      </c>
      <c r="E225" s="82"/>
      <c r="F225" s="82"/>
    </row>
    <row r="226" spans="1:6" s="6" customFormat="1" ht="30" customHeight="1" x14ac:dyDescent="0.2">
      <c r="A226" s="141" t="s">
        <v>153</v>
      </c>
      <c r="B226" s="139">
        <v>61.56</v>
      </c>
      <c r="C226" s="14" t="s">
        <v>154</v>
      </c>
      <c r="D226" s="140" t="s">
        <v>230</v>
      </c>
      <c r="E226" s="99"/>
      <c r="F226" s="99"/>
    </row>
    <row r="227" spans="1:6" s="6" customFormat="1" ht="30" customHeight="1" x14ac:dyDescent="0.2">
      <c r="A227" s="138">
        <v>43052</v>
      </c>
      <c r="B227" s="139">
        <f>26.5</f>
        <v>26.5</v>
      </c>
      <c r="C227" s="14" t="s">
        <v>122</v>
      </c>
      <c r="D227" s="140" t="s">
        <v>269</v>
      </c>
      <c r="E227" s="84"/>
      <c r="F227" s="84"/>
    </row>
    <row r="228" spans="1:6" s="6" customFormat="1" ht="30" customHeight="1" x14ac:dyDescent="0.2">
      <c r="A228" s="138">
        <v>43088</v>
      </c>
      <c r="B228" s="139">
        <f>17</f>
        <v>17</v>
      </c>
      <c r="C228" s="14" t="s">
        <v>122</v>
      </c>
      <c r="D228" s="140" t="s">
        <v>271</v>
      </c>
      <c r="E228" s="88"/>
      <c r="F228" s="88"/>
    </row>
    <row r="229" spans="1:6" s="6" customFormat="1" ht="22.5" customHeight="1" x14ac:dyDescent="0.2">
      <c r="A229" s="138">
        <v>43152</v>
      </c>
      <c r="B229" s="139">
        <f>19.1</f>
        <v>19.100000000000001</v>
      </c>
      <c r="C229" s="14" t="s">
        <v>122</v>
      </c>
      <c r="D229" s="140" t="s">
        <v>270</v>
      </c>
      <c r="E229" s="88"/>
      <c r="F229" s="88"/>
    </row>
    <row r="230" spans="1:6" s="6" customFormat="1" ht="22.5" customHeight="1" x14ac:dyDescent="0.2">
      <c r="A230" s="138">
        <v>43152</v>
      </c>
      <c r="B230" s="139">
        <f>20.4</f>
        <v>20.399999999999999</v>
      </c>
      <c r="C230" s="14" t="s">
        <v>140</v>
      </c>
      <c r="D230" s="140" t="s">
        <v>270</v>
      </c>
      <c r="E230" s="88"/>
      <c r="F230" s="88"/>
    </row>
    <row r="231" spans="1:6" ht="12.75" customHeight="1" x14ac:dyDescent="0.2">
      <c r="A231" s="60"/>
      <c r="B231" s="64"/>
      <c r="C231" s="82"/>
      <c r="D231" s="100"/>
      <c r="E231" s="82"/>
      <c r="F231" s="82"/>
    </row>
    <row r="232" spans="1:6" ht="12.75" customHeight="1" x14ac:dyDescent="0.2">
      <c r="A232" s="60"/>
      <c r="B232" s="64"/>
      <c r="C232" s="82"/>
      <c r="D232" s="100"/>
      <c r="E232" s="82"/>
      <c r="F232" s="82"/>
    </row>
    <row r="233" spans="1:6" ht="12.75" customHeight="1" x14ac:dyDescent="0.2">
      <c r="A233" s="60"/>
      <c r="B233" s="64"/>
      <c r="C233" s="40"/>
      <c r="D233" s="100"/>
      <c r="E233" s="81"/>
      <c r="F233" s="81"/>
    </row>
    <row r="234" spans="1:6" ht="12.75" hidden="1" customHeight="1" x14ac:dyDescent="0.2">
      <c r="A234" s="60"/>
      <c r="B234" s="64"/>
      <c r="C234" s="40"/>
      <c r="D234" s="100"/>
      <c r="E234" s="81"/>
      <c r="F234" s="81"/>
    </row>
    <row r="235" spans="1:6" ht="19.5" customHeight="1" x14ac:dyDescent="0.2">
      <c r="A235" s="144" t="s">
        <v>4</v>
      </c>
      <c r="B235" s="168">
        <f>SUM(B222:B234)</f>
        <v>216.66</v>
      </c>
      <c r="C235" s="40"/>
      <c r="D235" s="100"/>
      <c r="E235" s="81"/>
      <c r="F235" s="81"/>
    </row>
    <row r="236" spans="1:6" s="4" customFormat="1" ht="32.25" customHeight="1" x14ac:dyDescent="0.2">
      <c r="A236" s="165" t="s">
        <v>7</v>
      </c>
      <c r="B236" s="169">
        <f>B31+B219+B235</f>
        <v>30797.790000000015</v>
      </c>
      <c r="C236" s="142"/>
      <c r="D236" s="143"/>
      <c r="E236" s="112"/>
      <c r="F236" s="112"/>
    </row>
    <row r="237" spans="1:6" s="40" customFormat="1" x14ac:dyDescent="0.2">
      <c r="A237" s="62"/>
      <c r="B237" s="66"/>
      <c r="C237" s="39"/>
      <c r="D237" s="39"/>
      <c r="E237" s="105"/>
      <c r="F237" s="105"/>
    </row>
    <row r="238" spans="1:6" s="42" customFormat="1" x14ac:dyDescent="0.2">
      <c r="A238" s="178" t="s">
        <v>30</v>
      </c>
      <c r="B238" s="66"/>
      <c r="C238" s="39"/>
      <c r="D238" s="179"/>
      <c r="E238" s="81"/>
      <c r="F238" s="81"/>
    </row>
    <row r="239" spans="1:6" s="42" customFormat="1" ht="12.6" customHeight="1" x14ac:dyDescent="0.2">
      <c r="A239" s="201" t="s">
        <v>31</v>
      </c>
      <c r="B239" s="202"/>
      <c r="C239" s="202"/>
      <c r="D239" s="155"/>
      <c r="F239" s="81"/>
    </row>
    <row r="240" spans="1:6" s="40" customFormat="1" ht="12.95" customHeight="1" x14ac:dyDescent="0.2">
      <c r="A240" s="203" t="s">
        <v>36</v>
      </c>
      <c r="B240" s="204"/>
      <c r="C240" s="204"/>
      <c r="D240" s="5"/>
      <c r="F240" s="81"/>
    </row>
    <row r="241" spans="1:6" x14ac:dyDescent="0.2">
      <c r="A241" s="63" t="s">
        <v>32</v>
      </c>
      <c r="B241" s="67"/>
      <c r="C241" s="131"/>
      <c r="D241" s="5"/>
      <c r="E241" s="81"/>
      <c r="F241" s="81"/>
    </row>
    <row r="242" spans="1:6" x14ac:dyDescent="0.2">
      <c r="A242" s="63" t="s">
        <v>62</v>
      </c>
      <c r="B242" s="67"/>
      <c r="C242" s="131"/>
      <c r="D242" s="5"/>
      <c r="E242" s="81"/>
      <c r="F242" s="81"/>
    </row>
    <row r="243" spans="1:6" x14ac:dyDescent="0.2">
      <c r="A243" s="63" t="s">
        <v>46</v>
      </c>
      <c r="B243" s="67"/>
      <c r="C243" s="131"/>
      <c r="D243" s="5"/>
      <c r="E243" s="81"/>
      <c r="F243" s="81"/>
    </row>
    <row r="244" spans="1:6" x14ac:dyDescent="0.2">
      <c r="A244" s="220" t="s">
        <v>47</v>
      </c>
      <c r="B244" s="221"/>
      <c r="C244" s="221"/>
      <c r="D244" s="222"/>
    </row>
    <row r="245" spans="1:6" x14ac:dyDescent="0.2">
      <c r="A245" s="62"/>
      <c r="B245" s="64"/>
      <c r="C245" s="40"/>
      <c r="D245" s="100"/>
      <c r="E245" s="81"/>
      <c r="F245" s="81"/>
    </row>
    <row r="246" spans="1:6" x14ac:dyDescent="0.2">
      <c r="A246" s="62"/>
      <c r="B246" s="64"/>
      <c r="C246" s="40"/>
      <c r="D246" s="100"/>
      <c r="E246" s="81"/>
      <c r="F246" s="81"/>
    </row>
    <row r="247" spans="1:6" x14ac:dyDescent="0.2">
      <c r="A247" s="62"/>
      <c r="B247" s="64"/>
      <c r="C247" s="40"/>
      <c r="D247" s="100"/>
      <c r="E247" s="81"/>
      <c r="F247" s="81"/>
    </row>
    <row r="248" spans="1:6" x14ac:dyDescent="0.2">
      <c r="A248" s="62"/>
      <c r="B248" s="64"/>
      <c r="C248" s="40"/>
      <c r="D248" s="100"/>
      <c r="E248" s="81"/>
      <c r="F248" s="81"/>
    </row>
    <row r="249" spans="1:6" x14ac:dyDescent="0.2">
      <c r="A249" s="62"/>
      <c r="B249" s="64"/>
      <c r="C249" s="40"/>
      <c r="D249" s="100"/>
      <c r="E249" s="81"/>
      <c r="F249" s="81"/>
    </row>
    <row r="250" spans="1:6" x14ac:dyDescent="0.2">
      <c r="A250" s="62"/>
      <c r="B250" s="64"/>
      <c r="C250" s="40"/>
      <c r="D250" s="100"/>
      <c r="E250" s="81"/>
      <c r="F250" s="81"/>
    </row>
    <row r="251" spans="1:6" x14ac:dyDescent="0.2">
      <c r="A251" s="62"/>
      <c r="B251" s="64"/>
      <c r="C251" s="40"/>
      <c r="D251" s="100"/>
      <c r="E251" s="81"/>
      <c r="F251" s="81"/>
    </row>
    <row r="252" spans="1:6" x14ac:dyDescent="0.2">
      <c r="A252" s="62"/>
      <c r="B252" s="64"/>
      <c r="C252" s="40"/>
      <c r="D252" s="100"/>
      <c r="E252" s="81"/>
      <c r="F252" s="81"/>
    </row>
    <row r="253" spans="1:6" x14ac:dyDescent="0.2">
      <c r="A253" s="62"/>
      <c r="B253" s="64"/>
      <c r="C253" s="40"/>
      <c r="D253" s="100"/>
      <c r="E253" s="81"/>
      <c r="F253" s="81"/>
    </row>
    <row r="254" spans="1:6" x14ac:dyDescent="0.2">
      <c r="A254" s="62"/>
      <c r="B254" s="64"/>
      <c r="C254" s="40"/>
      <c r="D254" s="100"/>
      <c r="E254" s="81"/>
      <c r="F254" s="81"/>
    </row>
    <row r="255" spans="1:6" x14ac:dyDescent="0.2">
      <c r="A255" s="62"/>
      <c r="B255" s="64"/>
      <c r="C255" s="40"/>
      <c r="D255" s="100"/>
      <c r="E255" s="81"/>
      <c r="F255" s="81"/>
    </row>
  </sheetData>
  <mergeCells count="56">
    <mergeCell ref="D205:D208"/>
    <mergeCell ref="D209:D212"/>
    <mergeCell ref="D213:D215"/>
    <mergeCell ref="D40:D43"/>
    <mergeCell ref="D184:D187"/>
    <mergeCell ref="D190:D195"/>
    <mergeCell ref="D198:D201"/>
    <mergeCell ref="D202:D204"/>
    <mergeCell ref="D155:D157"/>
    <mergeCell ref="D159:D161"/>
    <mergeCell ref="D167:D171"/>
    <mergeCell ref="D172:D177"/>
    <mergeCell ref="D180:D183"/>
    <mergeCell ref="D143:D146"/>
    <mergeCell ref="D147:D150"/>
    <mergeCell ref="D151:D152"/>
    <mergeCell ref="D123:D129"/>
    <mergeCell ref="D93:D99"/>
    <mergeCell ref="D100:D103"/>
    <mergeCell ref="D104:D106"/>
    <mergeCell ref="D153:D154"/>
    <mergeCell ref="D130:D134"/>
    <mergeCell ref="D135:D139"/>
    <mergeCell ref="D140:D142"/>
    <mergeCell ref="D44:D47"/>
    <mergeCell ref="D48:D49"/>
    <mergeCell ref="D50:D52"/>
    <mergeCell ref="D53:D60"/>
    <mergeCell ref="A244:D244"/>
    <mergeCell ref="D77:D81"/>
    <mergeCell ref="D82:D86"/>
    <mergeCell ref="D87:D89"/>
    <mergeCell ref="D90:D91"/>
    <mergeCell ref="D61:D65"/>
    <mergeCell ref="D66:D67"/>
    <mergeCell ref="D68:D71"/>
    <mergeCell ref="D73:D74"/>
    <mergeCell ref="D75:D76"/>
    <mergeCell ref="D109:D114"/>
    <mergeCell ref="D115:D122"/>
    <mergeCell ref="D196:D197"/>
    <mergeCell ref="D188:D189"/>
    <mergeCell ref="A1:D1"/>
    <mergeCell ref="A239:C239"/>
    <mergeCell ref="A240:C240"/>
    <mergeCell ref="A7:D7"/>
    <mergeCell ref="B2:D2"/>
    <mergeCell ref="B3:D3"/>
    <mergeCell ref="B4:D4"/>
    <mergeCell ref="A5:D5"/>
    <mergeCell ref="A6:D6"/>
    <mergeCell ref="A32:C32"/>
    <mergeCell ref="A220:C220"/>
    <mergeCell ref="D9:D18"/>
    <mergeCell ref="D19:D26"/>
    <mergeCell ref="D34:D35"/>
  </mergeCells>
  <printOptions gridLines="1"/>
  <pageMargins left="0.70866141732283472" right="0.70866141732283472" top="0.74803149606299213" bottom="0.74803149606299213" header="0.31496062992125984" footer="0.31496062992125984"/>
  <pageSetup paperSize="8" fitToHeight="0" orientation="portrait" r:id="rId1"/>
  <headerFooter alignWithMargins="0">
    <oddFooter>Page &amp;P of &amp;N</oddFooter>
  </headerFooter>
  <rowBreaks count="3" manualBreakCount="3">
    <brk id="43" max="3" man="1"/>
    <brk id="134" max="3" man="1"/>
    <brk id="179"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zoomScaleNormal="100" workbookViewId="0">
      <selection activeCell="A7" sqref="A7:B7"/>
    </sheetView>
  </sheetViews>
  <sheetFormatPr defaultColWidth="9.140625" defaultRowHeight="12.75" x14ac:dyDescent="0.2"/>
  <cols>
    <col min="1" max="2" width="23.5703125" style="9" customWidth="1"/>
    <col min="3" max="6" width="27.5703125" style="9" customWidth="1"/>
    <col min="7" max="16384" width="9.140625" style="10"/>
  </cols>
  <sheetData>
    <row r="1" spans="1:7" ht="36" customHeight="1" x14ac:dyDescent="0.2">
      <c r="A1" s="200" t="s">
        <v>25</v>
      </c>
      <c r="B1" s="200"/>
      <c r="C1" s="200"/>
      <c r="D1" s="200"/>
      <c r="E1" s="200"/>
      <c r="F1" s="200"/>
    </row>
    <row r="2" spans="1:7" ht="36" customHeight="1" x14ac:dyDescent="0.2">
      <c r="A2" s="21" t="s">
        <v>8</v>
      </c>
      <c r="B2" s="206" t="str">
        <f>Travel!B2</f>
        <v>Ministry for Pacific Peoples</v>
      </c>
      <c r="C2" s="206"/>
      <c r="D2" s="206"/>
      <c r="E2" s="206"/>
      <c r="F2" s="206"/>
    </row>
    <row r="3" spans="1:7" ht="36" customHeight="1" x14ac:dyDescent="0.2">
      <c r="A3" s="21" t="s">
        <v>9</v>
      </c>
      <c r="B3" s="207" t="str">
        <f>Travel!B3</f>
        <v>Mac Leauanae</v>
      </c>
      <c r="C3" s="207"/>
      <c r="D3" s="207"/>
      <c r="E3" s="207"/>
      <c r="F3" s="207"/>
    </row>
    <row r="4" spans="1:7" ht="36" customHeight="1" x14ac:dyDescent="0.2">
      <c r="A4" s="21" t="s">
        <v>3</v>
      </c>
      <c r="B4" s="207" t="str">
        <f>Travel!B4</f>
        <v>3 July 2017 to 30 June 2018</v>
      </c>
      <c r="C4" s="207"/>
      <c r="D4" s="207"/>
      <c r="E4" s="207"/>
      <c r="F4" s="207"/>
    </row>
    <row r="5" spans="1:7" s="8" customFormat="1" ht="35.25" customHeight="1" x14ac:dyDescent="0.25">
      <c r="A5" s="227" t="s">
        <v>48</v>
      </c>
      <c r="B5" s="227"/>
      <c r="C5" s="228"/>
      <c r="D5" s="228"/>
      <c r="E5" s="228"/>
      <c r="F5" s="228"/>
    </row>
    <row r="6" spans="1:7" s="8" customFormat="1" ht="35.25" customHeight="1" x14ac:dyDescent="0.25">
      <c r="A6" s="225" t="s">
        <v>286</v>
      </c>
      <c r="B6" s="226"/>
      <c r="C6" s="226"/>
      <c r="D6" s="226"/>
      <c r="E6" s="226"/>
      <c r="F6" s="226"/>
    </row>
    <row r="7" spans="1:7" s="2" customFormat="1" ht="19.5" customHeight="1" x14ac:dyDescent="0.25">
      <c r="A7" s="223" t="s">
        <v>22</v>
      </c>
      <c r="B7" s="224"/>
      <c r="C7" s="193"/>
      <c r="D7" s="193"/>
      <c r="E7" s="193"/>
      <c r="F7" s="194"/>
    </row>
    <row r="8" spans="1:7" ht="25.5" x14ac:dyDescent="0.2">
      <c r="A8" s="191" t="s">
        <v>0</v>
      </c>
      <c r="B8" s="192" t="s">
        <v>109</v>
      </c>
      <c r="C8" s="191" t="s">
        <v>5</v>
      </c>
      <c r="D8" s="191" t="s">
        <v>13</v>
      </c>
      <c r="E8" s="191" t="s">
        <v>12</v>
      </c>
      <c r="F8" s="191" t="s">
        <v>1</v>
      </c>
    </row>
    <row r="9" spans="1:7" ht="42" customHeight="1" x14ac:dyDescent="0.2">
      <c r="A9" s="132">
        <v>43070</v>
      </c>
      <c r="B9" s="133">
        <v>100</v>
      </c>
      <c r="C9" s="134" t="s">
        <v>170</v>
      </c>
      <c r="D9" s="134" t="s">
        <v>176</v>
      </c>
      <c r="E9" s="134" t="s">
        <v>169</v>
      </c>
      <c r="F9" s="134" t="s">
        <v>135</v>
      </c>
    </row>
    <row r="10" spans="1:7" s="6" customFormat="1" ht="30" customHeight="1" x14ac:dyDescent="0.2">
      <c r="A10" s="132">
        <v>43132</v>
      </c>
      <c r="B10" s="133">
        <v>25.1</v>
      </c>
      <c r="C10" s="134" t="s">
        <v>139</v>
      </c>
      <c r="D10" s="134" t="s">
        <v>202</v>
      </c>
      <c r="E10" s="134" t="s">
        <v>169</v>
      </c>
      <c r="F10" s="134" t="s">
        <v>136</v>
      </c>
      <c r="G10" s="106"/>
    </row>
    <row r="11" spans="1:7" x14ac:dyDescent="0.2">
      <c r="A11" s="69"/>
      <c r="B11" s="86"/>
      <c r="C11" s="84"/>
      <c r="D11" s="84"/>
      <c r="E11" s="84"/>
      <c r="F11" s="85"/>
    </row>
    <row r="12" spans="1:7" x14ac:dyDescent="0.2">
      <c r="A12" s="69"/>
      <c r="B12" s="86"/>
      <c r="C12" s="84"/>
      <c r="D12" s="84"/>
      <c r="E12" s="84"/>
      <c r="F12" s="85"/>
    </row>
    <row r="13" spans="1:7" ht="11.25" customHeight="1" x14ac:dyDescent="0.2">
      <c r="A13" s="12"/>
      <c r="F13" s="13"/>
    </row>
    <row r="14" spans="1:7" hidden="1" x14ac:dyDescent="0.2">
      <c r="A14" s="12"/>
      <c r="F14" s="13"/>
    </row>
    <row r="15" spans="1:7" s="11" customFormat="1" ht="25.5" hidden="1" customHeight="1" x14ac:dyDescent="0.2">
      <c r="A15" s="12"/>
      <c r="B15" s="9"/>
      <c r="C15" s="9"/>
      <c r="D15" s="9"/>
      <c r="E15" s="9"/>
      <c r="F15" s="13"/>
    </row>
    <row r="16" spans="1:7" ht="36.75" customHeight="1" x14ac:dyDescent="0.2">
      <c r="A16" s="41" t="s">
        <v>23</v>
      </c>
      <c r="B16" s="170">
        <f>SUM(B9:B15)</f>
        <v>125.1</v>
      </c>
      <c r="C16" s="146"/>
      <c r="D16" s="147"/>
      <c r="E16" s="147"/>
      <c r="F16" s="148"/>
    </row>
    <row r="17" spans="1:6" x14ac:dyDescent="0.2">
      <c r="A17" s="48"/>
      <c r="B17" s="52"/>
      <c r="C17" s="52"/>
      <c r="D17" s="52"/>
      <c r="E17" s="52"/>
      <c r="F17" s="53"/>
    </row>
    <row r="18" spans="1:6" x14ac:dyDescent="0.2">
      <c r="A18" s="48" t="s">
        <v>30</v>
      </c>
      <c r="B18" s="110"/>
      <c r="C18" s="39"/>
      <c r="D18" s="52"/>
      <c r="E18" s="52"/>
      <c r="F18" s="53"/>
    </row>
    <row r="19" spans="1:6" x14ac:dyDescent="0.2">
      <c r="A19" s="229" t="s">
        <v>63</v>
      </c>
      <c r="B19" s="230"/>
      <c r="C19" s="230"/>
      <c r="D19" s="230"/>
      <c r="E19" s="230"/>
      <c r="F19" s="231"/>
    </row>
    <row r="20" spans="1:6" x14ac:dyDescent="0.2">
      <c r="A20" s="201" t="s">
        <v>58</v>
      </c>
      <c r="B20" s="202"/>
      <c r="C20" s="202"/>
      <c r="D20" s="130"/>
      <c r="E20" s="130"/>
      <c r="F20" s="155"/>
    </row>
    <row r="21" spans="1:6" x14ac:dyDescent="0.2">
      <c r="A21" s="36" t="s">
        <v>37</v>
      </c>
      <c r="B21" s="37"/>
      <c r="C21" s="131"/>
      <c r="D21" s="130"/>
      <c r="E21" s="130"/>
      <c r="F21" s="155"/>
    </row>
    <row r="22" spans="1:6" x14ac:dyDescent="0.2">
      <c r="A22" s="36" t="s">
        <v>54</v>
      </c>
      <c r="B22" s="37"/>
      <c r="C22" s="131"/>
      <c r="D22" s="131"/>
      <c r="E22" s="131"/>
      <c r="F22" s="5"/>
    </row>
    <row r="23" spans="1:6" ht="12.75" customHeight="1" x14ac:dyDescent="0.2">
      <c r="A23" s="220" t="s">
        <v>47</v>
      </c>
      <c r="B23" s="221"/>
      <c r="C23" s="180"/>
      <c r="D23" s="180"/>
      <c r="E23" s="180"/>
      <c r="F23" s="181"/>
    </row>
    <row r="24" spans="1:6" x14ac:dyDescent="0.2">
      <c r="A24" s="130"/>
      <c r="B24" s="130"/>
      <c r="C24" s="130"/>
      <c r="D24" s="130"/>
      <c r="E24" s="130"/>
      <c r="F24" s="130"/>
    </row>
    <row r="25" spans="1:6" x14ac:dyDescent="0.2">
      <c r="A25" s="43"/>
      <c r="B25" s="43"/>
      <c r="C25" s="43"/>
      <c r="D25" s="43"/>
      <c r="E25" s="43"/>
      <c r="F25" s="43"/>
    </row>
    <row r="26" spans="1:6" x14ac:dyDescent="0.2">
      <c r="A26" s="43"/>
      <c r="B26" s="43"/>
      <c r="C26" s="43"/>
      <c r="D26" s="43"/>
      <c r="E26" s="43"/>
      <c r="F26" s="43"/>
    </row>
    <row r="27" spans="1:6" x14ac:dyDescent="0.2">
      <c r="A27" s="43"/>
      <c r="B27" s="43"/>
      <c r="C27" s="43"/>
      <c r="D27" s="43"/>
      <c r="E27" s="43"/>
      <c r="F27" s="43"/>
    </row>
    <row r="28" spans="1:6" x14ac:dyDescent="0.2">
      <c r="A28" s="43"/>
      <c r="B28" s="43"/>
      <c r="C28" s="43"/>
      <c r="D28" s="43"/>
      <c r="E28" s="43"/>
      <c r="F28" s="43"/>
    </row>
  </sheetData>
  <mergeCells count="10">
    <mergeCell ref="A23:B23"/>
    <mergeCell ref="A7:B7"/>
    <mergeCell ref="A20:C20"/>
    <mergeCell ref="A1:F1"/>
    <mergeCell ref="A6:F6"/>
    <mergeCell ref="B2:F2"/>
    <mergeCell ref="B3:F3"/>
    <mergeCell ref="B4:F4"/>
    <mergeCell ref="A5:F5"/>
    <mergeCell ref="A19:F19"/>
  </mergeCells>
  <pageMargins left="0.70866141732283472" right="0.70866141732283472" top="0.74803149606299213" bottom="0.74803149606299213" header="0.31496062992125984" footer="0.31496062992125984"/>
  <pageSetup paperSize="8" scale="85" fitToHeight="0" orientation="portrait" r:id="rId1"/>
  <headerFooter alignWithMargins="0">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zoomScaleNormal="100" workbookViewId="0">
      <selection activeCell="A7" sqref="A7"/>
    </sheetView>
  </sheetViews>
  <sheetFormatPr defaultColWidth="9.140625" defaultRowHeight="12.75" x14ac:dyDescent="0.2"/>
  <cols>
    <col min="1" max="5" width="27.5703125" style="15" customWidth="1"/>
    <col min="6" max="6" width="27.5703125" style="20" customWidth="1"/>
    <col min="7" max="16384" width="9.140625" style="17"/>
  </cols>
  <sheetData>
    <row r="1" spans="1:14" ht="36" customHeight="1" x14ac:dyDescent="0.2">
      <c r="A1" s="200" t="s">
        <v>25</v>
      </c>
      <c r="B1" s="200"/>
      <c r="C1" s="200"/>
      <c r="D1" s="200"/>
      <c r="E1" s="200"/>
      <c r="F1" s="44"/>
    </row>
    <row r="2" spans="1:14" ht="36" customHeight="1" x14ac:dyDescent="0.2">
      <c r="A2" s="21" t="s">
        <v>8</v>
      </c>
      <c r="B2" s="206" t="str">
        <f>Travel!B2</f>
        <v>Ministry for Pacific Peoples</v>
      </c>
      <c r="C2" s="206"/>
      <c r="D2" s="206"/>
      <c r="E2" s="206"/>
      <c r="F2" s="22"/>
      <c r="G2" s="22"/>
    </row>
    <row r="3" spans="1:14" ht="36" customHeight="1" x14ac:dyDescent="0.2">
      <c r="A3" s="21" t="s">
        <v>9</v>
      </c>
      <c r="B3" s="207" t="str">
        <f>Travel!B3</f>
        <v>Mac Leauanae</v>
      </c>
      <c r="C3" s="207"/>
      <c r="D3" s="207"/>
      <c r="E3" s="207"/>
      <c r="F3" s="23"/>
      <c r="G3" s="23"/>
    </row>
    <row r="4" spans="1:14" ht="36" customHeight="1" x14ac:dyDescent="0.2">
      <c r="A4" s="21" t="s">
        <v>3</v>
      </c>
      <c r="B4" s="207" t="str">
        <f>Travel!B4</f>
        <v>3 July 2017 to 30 June 2018</v>
      </c>
      <c r="C4" s="207"/>
      <c r="D4" s="207"/>
      <c r="E4" s="207"/>
      <c r="F4" s="23"/>
      <c r="G4" s="23"/>
    </row>
    <row r="5" spans="1:14" ht="36" customHeight="1" x14ac:dyDescent="0.2">
      <c r="A5" s="208" t="s">
        <v>49</v>
      </c>
      <c r="B5" s="208"/>
      <c r="C5" s="208"/>
      <c r="D5" s="208"/>
      <c r="E5" s="208"/>
      <c r="F5" s="17"/>
    </row>
    <row r="6" spans="1:14" ht="20.100000000000001" customHeight="1" x14ac:dyDescent="0.2">
      <c r="A6" s="236" t="s">
        <v>55</v>
      </c>
      <c r="B6" s="236"/>
      <c r="C6" s="236"/>
      <c r="D6" s="236"/>
      <c r="E6" s="236"/>
      <c r="F6" s="24"/>
      <c r="G6" s="24"/>
    </row>
    <row r="7" spans="1:14" ht="19.5" customHeight="1" x14ac:dyDescent="0.25">
      <c r="A7" s="196" t="s">
        <v>288</v>
      </c>
      <c r="B7" s="193"/>
      <c r="C7" s="193"/>
      <c r="D7" s="193"/>
      <c r="E7" s="194"/>
      <c r="F7" s="8"/>
    </row>
    <row r="8" spans="1:14" ht="25.5" x14ac:dyDescent="0.2">
      <c r="A8" s="191" t="s">
        <v>0</v>
      </c>
      <c r="B8" s="191" t="s">
        <v>38</v>
      </c>
      <c r="C8" s="191" t="s">
        <v>33</v>
      </c>
      <c r="D8" s="195" t="s">
        <v>120</v>
      </c>
      <c r="E8" s="191" t="s">
        <v>65</v>
      </c>
      <c r="F8" s="113"/>
    </row>
    <row r="9" spans="1:14" s="10" customFormat="1" ht="22.5" customHeight="1" x14ac:dyDescent="0.2">
      <c r="A9" s="132">
        <v>42922</v>
      </c>
      <c r="B9" s="134" t="s">
        <v>131</v>
      </c>
      <c r="C9" s="134" t="s">
        <v>132</v>
      </c>
      <c r="D9" s="133">
        <v>94</v>
      </c>
      <c r="E9" s="134" t="s">
        <v>173</v>
      </c>
      <c r="F9" s="11"/>
    </row>
    <row r="10" spans="1:14" s="10" customFormat="1" ht="22.5" customHeight="1" x14ac:dyDescent="0.2">
      <c r="A10" s="132">
        <v>42998</v>
      </c>
      <c r="B10" s="134" t="s">
        <v>133</v>
      </c>
      <c r="C10" s="134" t="s">
        <v>134</v>
      </c>
      <c r="D10" s="133">
        <v>80</v>
      </c>
      <c r="E10" s="134" t="s">
        <v>173</v>
      </c>
      <c r="F10" s="11"/>
    </row>
    <row r="11" spans="1:14" s="10" customFormat="1" ht="30" customHeight="1" x14ac:dyDescent="0.2">
      <c r="A11" s="132">
        <v>43031</v>
      </c>
      <c r="B11" s="134" t="s">
        <v>165</v>
      </c>
      <c r="C11" s="134" t="s">
        <v>174</v>
      </c>
      <c r="D11" s="133">
        <v>100</v>
      </c>
      <c r="E11" s="134" t="s">
        <v>173</v>
      </c>
      <c r="F11" s="11"/>
    </row>
    <row r="12" spans="1:14" s="10" customFormat="1" ht="22.5" customHeight="1" x14ac:dyDescent="0.2">
      <c r="A12" s="132">
        <v>43087</v>
      </c>
      <c r="B12" s="134" t="s">
        <v>175</v>
      </c>
      <c r="C12" s="134" t="s">
        <v>171</v>
      </c>
      <c r="D12" s="133">
        <v>100</v>
      </c>
      <c r="E12" s="134" t="s">
        <v>282</v>
      </c>
      <c r="F12" s="11"/>
    </row>
    <row r="13" spans="1:14" x14ac:dyDescent="0.2">
      <c r="A13" s="119"/>
      <c r="B13" s="52"/>
      <c r="C13" s="52"/>
      <c r="D13" s="120"/>
      <c r="E13" s="53"/>
      <c r="F13" s="58"/>
    </row>
    <row r="14" spans="1:14" x14ac:dyDescent="0.2">
      <c r="A14" s="71"/>
      <c r="B14" s="20"/>
      <c r="C14" s="20"/>
      <c r="D14" s="91"/>
      <c r="E14" s="149"/>
      <c r="F14" s="92"/>
      <c r="N14" s="25"/>
    </row>
    <row r="15" spans="1:14" x14ac:dyDescent="0.2">
      <c r="A15" s="50"/>
      <c r="B15" s="51"/>
      <c r="C15" s="51"/>
      <c r="D15" s="150"/>
      <c r="E15" s="151"/>
      <c r="F15" s="92"/>
    </row>
    <row r="16" spans="1:14" hidden="1" x14ac:dyDescent="0.2">
      <c r="A16" s="16"/>
      <c r="E16" s="20"/>
      <c r="F16" s="92"/>
    </row>
    <row r="17" spans="1:6" ht="33" customHeight="1" x14ac:dyDescent="0.2">
      <c r="A17" s="41" t="s">
        <v>24</v>
      </c>
      <c r="B17" s="152" t="s">
        <v>20</v>
      </c>
      <c r="C17" s="146"/>
      <c r="D17" s="171">
        <f>SUM(D9:D16)</f>
        <v>374</v>
      </c>
      <c r="E17" s="148"/>
      <c r="F17" s="58"/>
    </row>
    <row r="18" spans="1:6" x14ac:dyDescent="0.2">
      <c r="A18" s="182"/>
      <c r="B18" s="183"/>
      <c r="C18" s="52"/>
      <c r="D18" s="110"/>
      <c r="E18" s="52"/>
      <c r="F18" s="58"/>
    </row>
    <row r="19" spans="1:6" x14ac:dyDescent="0.2">
      <c r="A19" s="48" t="s">
        <v>26</v>
      </c>
      <c r="B19" s="49"/>
      <c r="C19" s="49"/>
      <c r="D19" s="49"/>
      <c r="E19" s="153"/>
      <c r="F19" s="92"/>
    </row>
    <row r="20" spans="1:6" x14ac:dyDescent="0.2">
      <c r="A20" s="201" t="s">
        <v>58</v>
      </c>
      <c r="B20" s="202"/>
      <c r="C20" s="202"/>
      <c r="D20" s="20"/>
      <c r="E20" s="149"/>
      <c r="F20" s="92"/>
    </row>
    <row r="21" spans="1:6" x14ac:dyDescent="0.2">
      <c r="A21" s="232" t="s">
        <v>50</v>
      </c>
      <c r="B21" s="233"/>
      <c r="C21" s="233"/>
      <c r="D21" s="233"/>
      <c r="E21" s="234"/>
      <c r="F21" s="114"/>
    </row>
    <row r="22" spans="1:6" x14ac:dyDescent="0.2">
      <c r="A22" s="90" t="s">
        <v>66</v>
      </c>
      <c r="B22" s="17"/>
      <c r="C22" s="17"/>
      <c r="D22" s="17"/>
      <c r="E22" s="154"/>
      <c r="F22" s="114"/>
    </row>
    <row r="23" spans="1:6" ht="26.1" customHeight="1" x14ac:dyDescent="0.2">
      <c r="A23" s="201" t="s">
        <v>64</v>
      </c>
      <c r="B23" s="202"/>
      <c r="C23" s="202"/>
      <c r="D23" s="202"/>
      <c r="E23" s="235"/>
      <c r="F23" s="114"/>
    </row>
    <row r="24" spans="1:6" x14ac:dyDescent="0.2">
      <c r="A24" s="36" t="s">
        <v>51</v>
      </c>
      <c r="B24" s="20"/>
      <c r="C24" s="20"/>
      <c r="D24" s="20"/>
      <c r="E24" s="149"/>
      <c r="F24" s="92"/>
    </row>
    <row r="25" spans="1:6" x14ac:dyDescent="0.2">
      <c r="A25" s="36" t="s">
        <v>52</v>
      </c>
      <c r="B25" s="37"/>
      <c r="C25" s="131"/>
      <c r="D25" s="131"/>
      <c r="E25" s="5"/>
      <c r="F25" s="4"/>
    </row>
    <row r="26" spans="1:6" ht="12.75" customHeight="1" x14ac:dyDescent="0.2">
      <c r="A26" s="220" t="s">
        <v>47</v>
      </c>
      <c r="B26" s="221"/>
      <c r="C26" s="180"/>
      <c r="D26" s="180"/>
      <c r="E26" s="181"/>
      <c r="F26" s="115"/>
    </row>
    <row r="27" spans="1:6" x14ac:dyDescent="0.2">
      <c r="A27" s="20"/>
      <c r="B27" s="20"/>
      <c r="C27" s="20"/>
      <c r="D27" s="20"/>
      <c r="E27" s="20"/>
      <c r="F27" s="92"/>
    </row>
    <row r="28" spans="1:6" x14ac:dyDescent="0.2">
      <c r="F28" s="92"/>
    </row>
  </sheetData>
  <mergeCells count="10">
    <mergeCell ref="A21:E21"/>
    <mergeCell ref="A26:B26"/>
    <mergeCell ref="A1:E1"/>
    <mergeCell ref="A20:C20"/>
    <mergeCell ref="A23:E23"/>
    <mergeCell ref="A6:E6"/>
    <mergeCell ref="B2:E2"/>
    <mergeCell ref="B3:E3"/>
    <mergeCell ref="B4:E4"/>
    <mergeCell ref="A5:E5"/>
  </mergeCells>
  <pageMargins left="0.70866141732283472" right="0.70866141732283472" top="0.74803149606299213" bottom="0.74803149606299213" header="0.31496062992125984" footer="0.31496062992125984"/>
  <pageSetup paperSize="8" scale="97" fitToHeight="0" orientation="portrait" r:id="rId1"/>
  <headerFooter alignWithMargins="0">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6"/>
  <sheetViews>
    <sheetView zoomScaleNormal="100" workbookViewId="0">
      <selection activeCell="A7" sqref="A7:B7"/>
    </sheetView>
  </sheetViews>
  <sheetFormatPr defaultColWidth="9.140625" defaultRowHeight="12.75" x14ac:dyDescent="0.2"/>
  <cols>
    <col min="1" max="1" width="23.5703125" style="75" customWidth="1"/>
    <col min="2" max="2" width="23.5703125" style="79" customWidth="1"/>
    <col min="3" max="5" width="27.5703125" style="6" customWidth="1"/>
    <col min="6" max="16384" width="9.140625" style="7"/>
  </cols>
  <sheetData>
    <row r="1" spans="1:5" ht="36" customHeight="1" x14ac:dyDescent="0.2">
      <c r="A1" s="200" t="s">
        <v>25</v>
      </c>
      <c r="B1" s="200"/>
      <c r="C1" s="200"/>
      <c r="D1" s="200"/>
      <c r="E1" s="200"/>
    </row>
    <row r="2" spans="1:5" ht="36" customHeight="1" x14ac:dyDescent="0.2">
      <c r="A2" s="68" t="s">
        <v>8</v>
      </c>
      <c r="B2" s="206" t="str">
        <f>Travel!B2</f>
        <v>Ministry for Pacific Peoples</v>
      </c>
      <c r="C2" s="206"/>
      <c r="D2" s="206"/>
      <c r="E2" s="206"/>
    </row>
    <row r="3" spans="1:5" ht="36" customHeight="1" x14ac:dyDescent="0.2">
      <c r="A3" s="68" t="s">
        <v>9</v>
      </c>
      <c r="B3" s="207" t="str">
        <f>Travel!B3</f>
        <v>Mac Leauanae</v>
      </c>
      <c r="C3" s="207"/>
      <c r="D3" s="207"/>
      <c r="E3" s="207"/>
    </row>
    <row r="4" spans="1:5" ht="36" customHeight="1" x14ac:dyDescent="0.2">
      <c r="A4" s="68" t="s">
        <v>3</v>
      </c>
      <c r="B4" s="207" t="str">
        <f>Travel!B4</f>
        <v>3 July 2017 to 30 June 2018</v>
      </c>
      <c r="C4" s="207"/>
      <c r="D4" s="207"/>
      <c r="E4" s="207"/>
    </row>
    <row r="5" spans="1:5" ht="36" customHeight="1" x14ac:dyDescent="0.2">
      <c r="A5" s="208" t="s">
        <v>53</v>
      </c>
      <c r="B5" s="208"/>
      <c r="C5" s="228"/>
      <c r="D5" s="228"/>
      <c r="E5" s="228"/>
    </row>
    <row r="6" spans="1:5" ht="36" customHeight="1" x14ac:dyDescent="0.2">
      <c r="A6" s="239" t="s">
        <v>287</v>
      </c>
      <c r="B6" s="236"/>
      <c r="C6" s="236"/>
      <c r="D6" s="236"/>
      <c r="E6" s="236"/>
    </row>
    <row r="7" spans="1:5" ht="19.5" customHeight="1" x14ac:dyDescent="0.25">
      <c r="A7" s="237" t="s">
        <v>6</v>
      </c>
      <c r="B7" s="238"/>
      <c r="C7" s="193"/>
      <c r="D7" s="193"/>
      <c r="E7" s="194"/>
    </row>
    <row r="8" spans="1:5" ht="25.5" x14ac:dyDescent="0.2">
      <c r="A8" s="174" t="s">
        <v>0</v>
      </c>
      <c r="B8" s="197" t="s">
        <v>108</v>
      </c>
      <c r="C8" s="191" t="s">
        <v>34</v>
      </c>
      <c r="D8" s="191" t="s">
        <v>29</v>
      </c>
      <c r="E8" s="191" t="s">
        <v>2</v>
      </c>
    </row>
    <row r="9" spans="1:5" s="159" customFormat="1" ht="30" customHeight="1" x14ac:dyDescent="0.2">
      <c r="A9" s="156">
        <v>42920</v>
      </c>
      <c r="B9" s="157">
        <v>20</v>
      </c>
      <c r="C9" s="158" t="s">
        <v>285</v>
      </c>
      <c r="D9" s="158"/>
      <c r="E9" s="158" t="s">
        <v>135</v>
      </c>
    </row>
    <row r="10" spans="1:5" ht="22.5" customHeight="1" x14ac:dyDescent="0.2">
      <c r="A10" s="132">
        <v>42927</v>
      </c>
      <c r="B10" s="133">
        <v>75</v>
      </c>
      <c r="C10" s="134" t="s">
        <v>111</v>
      </c>
      <c r="D10" s="134"/>
      <c r="E10" s="134" t="s">
        <v>135</v>
      </c>
    </row>
    <row r="11" spans="1:5" ht="22.5" customHeight="1" x14ac:dyDescent="0.2">
      <c r="A11" s="132">
        <v>42947</v>
      </c>
      <c r="B11" s="133">
        <v>41.9</v>
      </c>
      <c r="C11" s="134" t="s">
        <v>118</v>
      </c>
      <c r="D11" s="134" t="s">
        <v>118</v>
      </c>
      <c r="E11" s="134"/>
    </row>
    <row r="12" spans="1:5" ht="22.5" customHeight="1" x14ac:dyDescent="0.2">
      <c r="A12" s="132">
        <v>42978</v>
      </c>
      <c r="B12" s="133">
        <v>41.9</v>
      </c>
      <c r="C12" s="134" t="s">
        <v>118</v>
      </c>
      <c r="D12" s="134" t="s">
        <v>118</v>
      </c>
      <c r="E12" s="134"/>
    </row>
    <row r="13" spans="1:5" s="159" customFormat="1" ht="29.25" customHeight="1" x14ac:dyDescent="0.2">
      <c r="A13" s="156">
        <v>42991</v>
      </c>
      <c r="B13" s="157">
        <v>40</v>
      </c>
      <c r="C13" s="158" t="s">
        <v>110</v>
      </c>
      <c r="D13" s="158" t="s">
        <v>172</v>
      </c>
      <c r="E13" s="158" t="s">
        <v>136</v>
      </c>
    </row>
    <row r="14" spans="1:5" ht="22.5" customHeight="1" x14ac:dyDescent="0.2">
      <c r="A14" s="132">
        <v>43007</v>
      </c>
      <c r="B14" s="133">
        <v>1226.67</v>
      </c>
      <c r="C14" s="134" t="s">
        <v>281</v>
      </c>
      <c r="D14" s="134"/>
      <c r="E14" s="134"/>
    </row>
    <row r="15" spans="1:5" ht="22.5" customHeight="1" x14ac:dyDescent="0.2">
      <c r="A15" s="132">
        <v>43008</v>
      </c>
      <c r="B15" s="133">
        <v>41.9</v>
      </c>
      <c r="C15" s="134" t="s">
        <v>118</v>
      </c>
      <c r="D15" s="134" t="s">
        <v>118</v>
      </c>
      <c r="E15" s="134"/>
    </row>
    <row r="16" spans="1:5" ht="22.5" customHeight="1" x14ac:dyDescent="0.2">
      <c r="A16" s="132">
        <v>43039</v>
      </c>
      <c r="B16" s="133">
        <v>42.19</v>
      </c>
      <c r="C16" s="134" t="s">
        <v>118</v>
      </c>
      <c r="D16" s="134" t="s">
        <v>118</v>
      </c>
      <c r="E16" s="134"/>
    </row>
    <row r="17" spans="1:6" ht="22.5" customHeight="1" x14ac:dyDescent="0.2">
      <c r="A17" s="132">
        <v>43069</v>
      </c>
      <c r="B17" s="133">
        <v>76.459999999999994</v>
      </c>
      <c r="C17" s="134" t="s">
        <v>118</v>
      </c>
      <c r="D17" s="134" t="s">
        <v>118</v>
      </c>
      <c r="E17" s="134"/>
    </row>
    <row r="18" spans="1:6" ht="22.5" customHeight="1" x14ac:dyDescent="0.2">
      <c r="A18" s="132">
        <v>43100</v>
      </c>
      <c r="B18" s="133">
        <v>51.71</v>
      </c>
      <c r="C18" s="134" t="s">
        <v>118</v>
      </c>
      <c r="D18" s="134" t="s">
        <v>118</v>
      </c>
      <c r="E18" s="134"/>
    </row>
    <row r="19" spans="1:6" ht="22.5" customHeight="1" x14ac:dyDescent="0.2">
      <c r="A19" s="132">
        <v>43131</v>
      </c>
      <c r="B19" s="133">
        <f>41.9</f>
        <v>41.9</v>
      </c>
      <c r="C19" s="134" t="s">
        <v>118</v>
      </c>
      <c r="D19" s="134" t="s">
        <v>118</v>
      </c>
      <c r="E19" s="134"/>
    </row>
    <row r="20" spans="1:6" ht="22.5" customHeight="1" x14ac:dyDescent="0.2">
      <c r="A20" s="132">
        <v>43159</v>
      </c>
      <c r="B20" s="133">
        <f>44.27</f>
        <v>44.27</v>
      </c>
      <c r="C20" s="134" t="s">
        <v>118</v>
      </c>
      <c r="D20" s="134" t="s">
        <v>118</v>
      </c>
      <c r="E20" s="134"/>
    </row>
    <row r="21" spans="1:6" s="161" customFormat="1" ht="53.25" customHeight="1" x14ac:dyDescent="0.2">
      <c r="A21" s="156">
        <v>43164</v>
      </c>
      <c r="B21" s="157">
        <v>100</v>
      </c>
      <c r="C21" s="158" t="s">
        <v>110</v>
      </c>
      <c r="D21" s="158" t="s">
        <v>203</v>
      </c>
      <c r="E21" s="158" t="s">
        <v>204</v>
      </c>
      <c r="F21" s="160"/>
    </row>
    <row r="22" spans="1:6" s="161" customFormat="1" ht="42" customHeight="1" x14ac:dyDescent="0.2">
      <c r="A22" s="156">
        <v>43166</v>
      </c>
      <c r="B22" s="157">
        <v>50</v>
      </c>
      <c r="C22" s="158" t="s">
        <v>110</v>
      </c>
      <c r="D22" s="158" t="s">
        <v>205</v>
      </c>
      <c r="E22" s="158" t="s">
        <v>206</v>
      </c>
      <c r="F22" s="160"/>
    </row>
    <row r="23" spans="1:6" ht="22.5" customHeight="1" x14ac:dyDescent="0.2">
      <c r="A23" s="132">
        <v>43190</v>
      </c>
      <c r="B23" s="133">
        <f>180.87</f>
        <v>180.87</v>
      </c>
      <c r="C23" s="134" t="s">
        <v>118</v>
      </c>
      <c r="D23" s="134" t="s">
        <v>118</v>
      </c>
      <c r="E23" s="134"/>
      <c r="F23" s="90"/>
    </row>
    <row r="24" spans="1:6" ht="22.5" customHeight="1" x14ac:dyDescent="0.2">
      <c r="A24" s="132">
        <v>43220</v>
      </c>
      <c r="B24" s="133">
        <f>42.03</f>
        <v>42.03</v>
      </c>
      <c r="C24" s="134" t="s">
        <v>118</v>
      </c>
      <c r="D24" s="134" t="s">
        <v>118</v>
      </c>
      <c r="E24" s="134"/>
      <c r="F24" s="90"/>
    </row>
    <row r="25" spans="1:6" s="159" customFormat="1" ht="30" customHeight="1" x14ac:dyDescent="0.2">
      <c r="A25" s="156">
        <v>43245</v>
      </c>
      <c r="B25" s="157">
        <f>40</f>
        <v>40</v>
      </c>
      <c r="C25" s="158" t="s">
        <v>218</v>
      </c>
      <c r="D25" s="158"/>
      <c r="E25" s="158" t="s">
        <v>136</v>
      </c>
    </row>
    <row r="26" spans="1:6" ht="22.5" customHeight="1" x14ac:dyDescent="0.2">
      <c r="A26" s="132">
        <v>43251</v>
      </c>
      <c r="B26" s="133">
        <v>41.97</v>
      </c>
      <c r="C26" s="134" t="s">
        <v>118</v>
      </c>
      <c r="D26" s="134" t="s">
        <v>118</v>
      </c>
      <c r="E26" s="134"/>
      <c r="F26" s="90"/>
    </row>
    <row r="27" spans="1:6" x14ac:dyDescent="0.2">
      <c r="A27" s="132">
        <v>43281</v>
      </c>
      <c r="B27" s="133">
        <v>42.03</v>
      </c>
      <c r="C27" s="134" t="s">
        <v>118</v>
      </c>
      <c r="D27" s="134" t="s">
        <v>118</v>
      </c>
      <c r="E27" s="134"/>
      <c r="F27" s="90"/>
    </row>
    <row r="28" spans="1:6" x14ac:dyDescent="0.2">
      <c r="A28" s="162"/>
      <c r="B28" s="163"/>
      <c r="C28" s="49"/>
      <c r="D28" s="49"/>
      <c r="E28" s="153"/>
      <c r="F28" s="90"/>
    </row>
    <row r="29" spans="1:6" x14ac:dyDescent="0.2">
      <c r="A29" s="70"/>
      <c r="B29" s="86"/>
      <c r="C29" s="108"/>
      <c r="D29" s="108"/>
      <c r="E29" s="107"/>
    </row>
    <row r="30" spans="1:6" x14ac:dyDescent="0.2">
      <c r="A30" s="164"/>
      <c r="B30" s="118"/>
      <c r="C30" s="54"/>
      <c r="D30" s="54"/>
      <c r="E30" s="55"/>
    </row>
    <row r="31" spans="1:6" ht="33.75" customHeight="1" x14ac:dyDescent="0.2">
      <c r="A31" s="184" t="s">
        <v>14</v>
      </c>
      <c r="B31" s="185">
        <f>SUM(B9:B30)</f>
        <v>2240.8000000000006</v>
      </c>
      <c r="C31" s="186"/>
      <c r="D31" s="187"/>
      <c r="E31" s="188"/>
    </row>
    <row r="32" spans="1:6" ht="14.1" customHeight="1" x14ac:dyDescent="0.2">
      <c r="A32" s="189"/>
      <c r="B32" s="64"/>
      <c r="C32" s="130"/>
      <c r="D32" s="130"/>
      <c r="E32" s="130"/>
    </row>
    <row r="33" spans="1:5" x14ac:dyDescent="0.2">
      <c r="A33" s="178" t="s">
        <v>26</v>
      </c>
      <c r="B33" s="120"/>
      <c r="C33" s="52"/>
      <c r="D33" s="52"/>
      <c r="E33" s="53"/>
    </row>
    <row r="34" spans="1:5" x14ac:dyDescent="0.2">
      <c r="A34" s="201" t="s">
        <v>58</v>
      </c>
      <c r="B34" s="202"/>
      <c r="C34" s="202"/>
      <c r="D34" s="130"/>
      <c r="E34" s="155"/>
    </row>
    <row r="35" spans="1:5" ht="14.1" customHeight="1" x14ac:dyDescent="0.2">
      <c r="A35" s="72" t="s">
        <v>21</v>
      </c>
      <c r="B35" s="78"/>
      <c r="C35" s="130"/>
      <c r="D35" s="130"/>
      <c r="E35" s="155"/>
    </row>
    <row r="36" spans="1:5" x14ac:dyDescent="0.2">
      <c r="A36" s="73" t="s">
        <v>32</v>
      </c>
      <c r="B36" s="67"/>
      <c r="C36" s="131"/>
      <c r="D36" s="130"/>
      <c r="E36" s="155"/>
    </row>
    <row r="37" spans="1:5" ht="12.6" customHeight="1" x14ac:dyDescent="0.2">
      <c r="A37" s="232" t="s">
        <v>28</v>
      </c>
      <c r="B37" s="233"/>
      <c r="C37" s="233"/>
      <c r="D37" s="233"/>
      <c r="E37" s="234"/>
    </row>
    <row r="38" spans="1:5" x14ac:dyDescent="0.2">
      <c r="A38" s="73" t="s">
        <v>54</v>
      </c>
      <c r="B38" s="67"/>
      <c r="C38" s="131"/>
      <c r="D38" s="131"/>
      <c r="E38" s="5"/>
    </row>
    <row r="39" spans="1:5" ht="12.75" customHeight="1" x14ac:dyDescent="0.2">
      <c r="A39" s="220" t="s">
        <v>47</v>
      </c>
      <c r="B39" s="221"/>
      <c r="C39" s="180"/>
      <c r="D39" s="180"/>
      <c r="E39" s="181"/>
    </row>
    <row r="40" spans="1:5" x14ac:dyDescent="0.2">
      <c r="A40" s="189"/>
      <c r="B40" s="190"/>
      <c r="C40" s="130"/>
      <c r="D40" s="130"/>
      <c r="E40" s="130"/>
    </row>
    <row r="41" spans="1:5" x14ac:dyDescent="0.2">
      <c r="A41" s="74"/>
      <c r="B41" s="76"/>
      <c r="C41" s="9"/>
      <c r="D41" s="9"/>
      <c r="E41" s="35"/>
    </row>
    <row r="42" spans="1:5" x14ac:dyDescent="0.2">
      <c r="A42" s="74"/>
      <c r="B42" s="76"/>
      <c r="C42" s="9"/>
      <c r="D42" s="9"/>
      <c r="E42" s="35"/>
    </row>
    <row r="43" spans="1:5" x14ac:dyDescent="0.2">
      <c r="A43" s="74"/>
      <c r="B43" s="76"/>
      <c r="C43" s="9"/>
      <c r="D43" s="9"/>
      <c r="E43" s="35"/>
    </row>
    <row r="44" spans="1:5" x14ac:dyDescent="0.2">
      <c r="A44" s="74"/>
      <c r="B44" s="76"/>
      <c r="C44" s="9"/>
      <c r="D44" s="9"/>
      <c r="E44" s="35"/>
    </row>
    <row r="45" spans="1:5" x14ac:dyDescent="0.2">
      <c r="A45" s="74"/>
      <c r="B45" s="76"/>
      <c r="C45" s="35"/>
      <c r="D45" s="35"/>
      <c r="E45" s="35"/>
    </row>
    <row r="46" spans="1:5" x14ac:dyDescent="0.2">
      <c r="A46" s="74"/>
      <c r="B46" s="76"/>
      <c r="C46" s="35"/>
      <c r="D46" s="35"/>
      <c r="E46" s="35"/>
    </row>
  </sheetData>
  <mergeCells count="10">
    <mergeCell ref="A39:B39"/>
    <mergeCell ref="A37:E37"/>
    <mergeCell ref="A1:E1"/>
    <mergeCell ref="A34:C34"/>
    <mergeCell ref="A7:B7"/>
    <mergeCell ref="B2:E2"/>
    <mergeCell ref="B3:E3"/>
    <mergeCell ref="B4:E4"/>
    <mergeCell ref="A6:E6"/>
    <mergeCell ref="A5:E5"/>
  </mergeCells>
  <pageMargins left="0.70866141732283472" right="0.70866141732283472" top="0.74803149606299213" bottom="0.74803149606299213" header="0.31496062992125984" footer="0.31496062992125984"/>
  <pageSetup paperSize="8" fitToHeight="0" orientation="portrait" r:id="rId1"/>
  <headerFooter alignWithMargins="0">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BaselineUpdatePeriod xmlns="07dc393d-3a03-4b25-a457-206cbde8239b" xsi:nil="true"/>
    <C3TopicNote xmlns="01be4277-2979-4a68-876d-b92b25fceece">
      <Terms xmlns="http://schemas.microsoft.com/office/infopath/2007/PartnerControls">
        <TermInfo xmlns="http://schemas.microsoft.com/office/infopath/2007/PartnerControls">
          <TermName xmlns="http://schemas.microsoft.com/office/infopath/2007/PartnerControls">Chief Executives Expenditure</TermName>
          <TermId xmlns="http://schemas.microsoft.com/office/infopath/2007/PartnerControls">8547f6a5-fd0d-45f1-82e7-2c5b564743ab</TermId>
        </TermInfo>
      </Terms>
    </C3TopicNote>
    <FinancialMonth xmlns="07dc393d-3a03-4b25-a457-206cbde8239b" xsi:nil="true"/>
    <TaxCatchAll xmlns="07dc393d-3a03-4b25-a457-206cbde8239b">
      <Value>1</Value>
      <Value>321</Value>
    </TaxCatchAll>
    <FinancialYear xmlns="07dc393d-3a03-4b25-a457-206cbde8239b">2017 - 2018</FinancialYear>
    <TaxKeywordTaxHTField xmlns="07dc393d-3a03-4b25-a457-206cbde8239b">
      <Terms xmlns="http://schemas.microsoft.com/office/infopath/2007/PartnerControls"/>
    </TaxKeywordTaxHTField>
    <j42e8f5616c24cb895c100df41791e8c xmlns="07dc393d-3a03-4b25-a457-206cbde8239b">
      <Terms xmlns="http://schemas.microsoft.com/office/infopath/2007/PartnerControls">
        <TermInfo xmlns="http://schemas.microsoft.com/office/infopath/2007/PartnerControls">
          <TermName xmlns="http://schemas.microsoft.com/office/infopath/2007/PartnerControls">IN-CONFIDENCE</TermName>
          <TermId xmlns="http://schemas.microsoft.com/office/infopath/2007/PartnerControls">813244d8-7a95-46fb-9bb6-3911b2b5f475</TermId>
        </TermInfo>
      </Terms>
    </j42e8f5616c24cb895c100df41791e8c>
    <_dlc_DocId xmlns="07dc393d-3a03-4b25-a457-206cbde8239b">CORP-79-221</_dlc_DocId>
    <_dlc_DocIdUrl xmlns="07dc393d-3a03-4b25-a457-206cbde8239b">
      <Url>https://vakapuna.cohesion.net.nz/sites/CO/FIN/_layouts/15/DocIdRedir.aspx?ID=CORP-79-221</Url>
      <Description>CORP-79-221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Excel Spreadsheet" ma:contentTypeID="0x0101005496552013C0BA46BE88192D5C6EB20B009CDED344C2374474AE96CC935068FE71009D0EA434559FA449BC6954AFA7B43919" ma:contentTypeVersion="12" ma:contentTypeDescription="Create a new Excel Spreadsheet" ma:contentTypeScope="" ma:versionID="d70b42d844074fa889ec5b606709d854">
  <xsd:schema xmlns:xsd="http://www.w3.org/2001/XMLSchema" xmlns:xs="http://www.w3.org/2001/XMLSchema" xmlns:p="http://schemas.microsoft.com/office/2006/metadata/properties" xmlns:ns2="07dc393d-3a03-4b25-a457-206cbde8239b" xmlns:ns4="01be4277-2979-4a68-876d-b92b25fceece" targetNamespace="http://schemas.microsoft.com/office/2006/metadata/properties" ma:root="true" ma:fieldsID="f361498b8570fd75e430bcd0845042b9" ns2:_="" ns4:_="">
    <xsd:import namespace="07dc393d-3a03-4b25-a457-206cbde8239b"/>
    <xsd:import namespace="01be4277-2979-4a68-876d-b92b25fceece"/>
    <xsd:element name="properties">
      <xsd:complexType>
        <xsd:sequence>
          <xsd:element name="documentManagement">
            <xsd:complexType>
              <xsd:all>
                <xsd:element ref="ns2:FinancialYear" minOccurs="0"/>
                <xsd:element ref="ns2:FinancialMonth" minOccurs="0"/>
                <xsd:element ref="ns2:BaselineUpdatePeriod" minOccurs="0"/>
                <xsd:element ref="ns4:C3TopicNote" minOccurs="0"/>
                <xsd:element ref="ns2:TaxKeywordTaxHTField" minOccurs="0"/>
                <xsd:element ref="ns2:TaxCatchAll" minOccurs="0"/>
                <xsd:element ref="ns2:TaxCatchAllLabel" minOccurs="0"/>
                <xsd:element ref="ns2:_dlc_DocId" minOccurs="0"/>
                <xsd:element ref="ns2:_dlc_DocIdUrl" minOccurs="0"/>
                <xsd:element ref="ns2:_dlc_DocIdPersistId" minOccurs="0"/>
                <xsd:element ref="ns2:j42e8f5616c24cb895c100df41791e8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c393d-3a03-4b25-a457-206cbde8239b" elementFormDefault="qualified">
    <xsd:import namespace="http://schemas.microsoft.com/office/2006/documentManagement/types"/>
    <xsd:import namespace="http://schemas.microsoft.com/office/infopath/2007/PartnerControls"/>
    <xsd:element name="FinancialYear" ma:index="2" nillable="true" ma:displayName="Financial Year" ma:format="Dropdown" ma:internalName="FinancialYear">
      <xsd:simpleType>
        <xsd:restriction base="dms:Choice">
          <xsd:enumeration value="2011 - 2012"/>
          <xsd:enumeration value="2012 - 2013"/>
          <xsd:enumeration value="2013 - 2014"/>
          <xsd:enumeration value="2014 - 2015"/>
          <xsd:enumeration value="2015 - 2016"/>
          <xsd:enumeration value="2016 - 2017"/>
          <xsd:enumeration value="2017 - 2018"/>
          <xsd:enumeration value="2018 - 2019"/>
          <xsd:enumeration value="2019 - 2020"/>
          <xsd:enumeration value="2020 - 2021"/>
          <xsd:enumeration value="2021 - 2022"/>
          <xsd:enumeration value="2022 - 2023"/>
          <xsd:enumeration value="2023 - 2024"/>
          <xsd:enumeration value="2024 - 2025"/>
          <xsd:enumeration value="2025 - 2026"/>
          <xsd:enumeration value="2026 - 2027"/>
          <xsd:enumeration value="2027 - 2028"/>
          <xsd:enumeration value="2028 - 2029"/>
          <xsd:enumeration value="2029 - 2030"/>
        </xsd:restriction>
      </xsd:simpleType>
    </xsd:element>
    <xsd:element name="FinancialMonth" ma:index="3" nillable="true" ma:displayName="Financial Month" ma:format="Dropdown" ma:internalName="FinancialMonth">
      <xsd:simpleType>
        <xsd:restriction base="dms:Choice">
          <xsd:enumeration value="01 July"/>
          <xsd:enumeration value="02 August"/>
          <xsd:enumeration value="03 September"/>
          <xsd:enumeration value="04 October"/>
          <xsd:enumeration value="05 November"/>
          <xsd:enumeration value="06 December"/>
          <xsd:enumeration value="07 January"/>
          <xsd:enumeration value="08 February"/>
          <xsd:enumeration value="09 March"/>
          <xsd:enumeration value="10 April"/>
          <xsd:enumeration value="11 May"/>
          <xsd:enumeration value="12 June"/>
        </xsd:restriction>
      </xsd:simpleType>
    </xsd:element>
    <xsd:element name="BaselineUpdatePeriod" ma:index="5" nillable="true" ma:displayName="Baseline Update Period" ma:format="Dropdown" ma:internalName="BaselineUpdatePeriod">
      <xsd:simpleType>
        <xsd:restriction base="dms:Choice">
          <xsd:enumeration value="MBU"/>
          <xsd:enumeration value="OBU"/>
        </xsd:restriction>
      </xsd:simpleType>
    </xsd:element>
    <xsd:element name="TaxKeywordTaxHTField" ma:index="11" nillable="true" ma:taxonomy="true" ma:internalName="TaxKeywordTaxHTField" ma:taxonomyFieldName="TaxKeyword" ma:displayName="Enterprise Keywords" ma:fieldId="{23f27201-bee3-471e-b2e7-b64fd8b7ca38}" ma:taxonomyMulti="true" ma:sspId="04e47b6c-464d-4e7d-902e-5892bc9a9e0d"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description="" ma:hidden="true" ma:list="{8b42a0c1-6653-4e4b-a082-c3106d1920a8}" ma:internalName="TaxCatchAll" ma:showField="CatchAllData" ma:web="07dc393d-3a03-4b25-a457-206cbde8239b">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8b42a0c1-6653-4e4b-a082-c3106d1920a8}" ma:internalName="TaxCatchAllLabel" ma:readOnly="true" ma:showField="CatchAllDataLabel" ma:web="07dc393d-3a03-4b25-a457-206cbde8239b">
      <xsd:complexType>
        <xsd:complexContent>
          <xsd:extension base="dms:MultiChoiceLookup">
            <xsd:sequence>
              <xsd:element name="Value" type="dms:Lookup" maxOccurs="unbounded" minOccurs="0" nillable="true"/>
            </xsd:sequence>
          </xsd:extension>
        </xsd:complexContent>
      </xsd:complexType>
    </xsd:element>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element name="j42e8f5616c24cb895c100df41791e8c" ma:index="17" ma:taxonomy="true" ma:internalName="j42e8f5616c24cb895c100df41791e8c" ma:taxonomyFieldName="SecurityClassification" ma:displayName="Security Classification" ma:default="1;#IN-CONFIDENCE|813244d8-7a95-46fb-9bb6-3911b2b5f475" ma:fieldId="{342e8f56-16c2-4cb8-95c1-00df41791e8c}" ma:sspId="04e47b6c-464d-4e7d-902e-5892bc9a9e0d" ma:termSetId="715adefd-8f61-4820-ac22-81d15882491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readOnly="false" ma:default="" ma:fieldId="{6a3fe89f-a6dd-4490-a9c1-3ef38d67b8c7}" ma:sspId="04e47b6c-464d-4e7d-902e-5892bc9a9e0d" ma:termSetId="9ec36a67-a3f5-4ee6-8af0-7f9f61d97e46" ma:anchorId="70f13a71-f769-4a02-b27c-e3c91c0c626e"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5E7D71-ACBE-4D4A-A65E-CB60AFA901B7}">
  <ds:schemaRefs>
    <ds:schemaRef ds:uri="http://schemas.microsoft.com/sharepoint/v3/contenttype/forms"/>
  </ds:schemaRefs>
</ds:datastoreItem>
</file>

<file path=customXml/itemProps2.xml><?xml version="1.0" encoding="utf-8"?>
<ds:datastoreItem xmlns:ds="http://schemas.openxmlformats.org/officeDocument/2006/customXml" ds:itemID="{6C0F94E4-BDC2-4FE3-A5E1-F76EC47D415C}">
  <ds:schemaRefs>
    <ds:schemaRef ds:uri="01be4277-2979-4a68-876d-b92b25fceece"/>
    <ds:schemaRef ds:uri="http://purl.org/dc/dcmitype/"/>
    <ds:schemaRef ds:uri="http://schemas.microsoft.com/office/2006/metadata/properties"/>
    <ds:schemaRef ds:uri="http://purl.org/dc/elements/1.1/"/>
    <ds:schemaRef ds:uri="http://purl.org/dc/term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07dc393d-3a03-4b25-a457-206cbde8239b"/>
  </ds:schemaRefs>
</ds:datastoreItem>
</file>

<file path=customXml/itemProps3.xml><?xml version="1.0" encoding="utf-8"?>
<ds:datastoreItem xmlns:ds="http://schemas.openxmlformats.org/officeDocument/2006/customXml" ds:itemID="{08677C47-DD7D-4E19-835C-2AF3EB06682B}">
  <ds:schemaRefs>
    <ds:schemaRef ds:uri="http://schemas.microsoft.com/sharepoint/events"/>
  </ds:schemaRefs>
</ds:datastoreItem>
</file>

<file path=customXml/itemProps4.xml><?xml version="1.0" encoding="utf-8"?>
<ds:datastoreItem xmlns:ds="http://schemas.openxmlformats.org/officeDocument/2006/customXml" ds:itemID="{945451B0-E934-4A7A-8BCB-BCABB3EEA5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c393d-3a03-4b25-a457-206cbde8239b"/>
    <ds:schemaRef ds:uri="01be4277-2979-4a68-876d-b92b25fcee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Guidance for agencies</vt:lpstr>
      <vt:lpstr>Travel</vt:lpstr>
      <vt:lpstr>Hospitality</vt:lpstr>
      <vt:lpstr>Gifts and Benefits</vt:lpstr>
      <vt:lpstr>All Other Expenses</vt:lpstr>
      <vt:lpstr>'Guidance for agencies'!_ftnref1</vt:lpstr>
      <vt:lpstr>'All Other Expenses'!Print_Area</vt:lpstr>
      <vt:lpstr>'Gifts and Benefits'!Print_Area</vt:lpstr>
      <vt:lpstr>'Guidance for agencies'!Print_Area</vt:lpstr>
      <vt:lpstr>Hospitality!Print_Area</vt:lpstr>
      <vt:lpstr>Travel!Print_Area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2017-06-13T23:11:03Z</dcterms:created>
  <dcterms:modified xsi:type="dcterms:W3CDTF">2018-07-31T01:09:12Z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0x0101005496552013C0BA46BE88192D5C6EB20B009CDED344C2374474AE96CC935068FE71009D0EA434559FA449BC6954AFA7B43919</vt:lpwstr>
  </property>
  <property fmtid="{D5CDD505-2E9C-101B-9397-08002B2CF9AE}" pid="3" name="_dlc_DocIdItemGuid">
    <vt:lpwstr>20af8673-4a41-4b34-b5ce-606ed05ce89b</vt:lpwstr>
  </property>
  <property fmtid="{D5CDD505-2E9C-101B-9397-08002B2CF9AE}" pid="4" name="TaxKeyword">
    <vt:lpwstr/>
  </property>
  <property fmtid="{D5CDD505-2E9C-101B-9397-08002B2CF9AE}" pid="5" name="SecurityClassification">
    <vt:lpwstr>1;#IN-CONFIDENCE|813244d8-7a95-46fb-9bb6-3911b2b5f475</vt:lpwstr>
  </property>
  <property fmtid="{D5CDD505-2E9C-101B-9397-08002B2CF9AE}" pid="6" name="C3Topic">
    <vt:lpwstr>321;#Chief Executives Expenditure|8547f6a5-fd0d-45f1-82e7-2c5b564743ab</vt:lpwstr>
  </property>
  <property fmtid="{D5CDD505-2E9C-101B-9397-08002B2CF9AE}" pid="7" name="RecordPoint_ActiveItemUniqueId">
    <vt:lpwstr>{59e52a5f-9f78-4af6-90f3-c96cf20d0e58}</vt:lpwstr>
  </property>
  <property fmtid="{D5CDD505-2E9C-101B-9397-08002B2CF9AE}" pid="8" name="RecordPoint_WorkflowType">
    <vt:lpwstr>ActiveSubmitStub</vt:lpwstr>
  </property>
  <property fmtid="{D5CDD505-2E9C-101B-9397-08002B2CF9AE}" pid="9" name="RecordPoint_ActiveItemSiteId">
    <vt:lpwstr>{830bf0ca-082a-4a99-88dd-595355677767}</vt:lpwstr>
  </property>
  <property fmtid="{D5CDD505-2E9C-101B-9397-08002B2CF9AE}" pid="10" name="RecordPoint_ActiveItemListId">
    <vt:lpwstr>{4238fb12-4928-4587-96ba-293d68913c61}</vt:lpwstr>
  </property>
  <property fmtid="{D5CDD505-2E9C-101B-9397-08002B2CF9AE}" pid="11" name="RecordPoint_ActiveItemWebId">
    <vt:lpwstr>{d383b079-dd06-4aff-8d2a-e5da729d94dc}</vt:lpwstr>
  </property>
  <property fmtid="{D5CDD505-2E9C-101B-9397-08002B2CF9AE}" pid="12" name="RecordPoint_RecordNumberSubmitted">
    <vt:lpwstr>R0000029542</vt:lpwstr>
  </property>
  <property fmtid="{D5CDD505-2E9C-101B-9397-08002B2CF9AE}" pid="13" name="RecordPoint_SubmissionCompleted">
    <vt:lpwstr>2018-07-23T18:36:56.3627752+12:00</vt:lpwstr>
  </property>
  <property fmtid="{D5CDD505-2E9C-101B-9397-08002B2CF9AE}" pid="14" name="RecordPoint_SubmissionDate">
    <vt:lpwstr/>
  </property>
  <property fmtid="{D5CDD505-2E9C-101B-9397-08002B2CF9AE}" pid="15" name="RecordPoint_ActiveItemMoved">
    <vt:lpwstr/>
  </property>
  <property fmtid="{D5CDD505-2E9C-101B-9397-08002B2CF9AE}" pid="16" name="RecordPoint_RecordFormat">
    <vt:lpwstr/>
  </property>
</Properties>
</file>