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50" windowWidth="12950" windowHeight="10970" activeTab="3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Gifts!$A$1:$E$24</definedName>
    <definedName name="_xlnm.Print_Area" localSheetId="1">Hospitality!$A$1:$E$34</definedName>
    <definedName name="_xlnm.Print_Area" localSheetId="2">Other!$A$1:$E$33</definedName>
    <definedName name="_xlnm.Print_Area" localSheetId="0">Travel!$A$1:$E$237</definedName>
  </definedNames>
  <calcPr calcId="145621"/>
</workbook>
</file>

<file path=xl/calcChain.xml><?xml version="1.0" encoding="utf-8"?>
<calcChain xmlns="http://schemas.openxmlformats.org/spreadsheetml/2006/main">
  <c r="B190" i="1" l="1"/>
  <c r="B189" i="1"/>
  <c r="B161" i="1"/>
  <c r="B229" i="1"/>
  <c r="B225" i="1"/>
  <c r="B220" i="1"/>
  <c r="B219" i="1"/>
  <c r="B216" i="1"/>
  <c r="B215" i="1"/>
  <c r="B209" i="1"/>
  <c r="B205" i="1"/>
  <c r="B201" i="1"/>
  <c r="B199" i="1"/>
  <c r="B194" i="1"/>
  <c r="B20" i="1"/>
  <c r="B165" i="1"/>
  <c r="B159" i="1"/>
  <c r="B156" i="1"/>
  <c r="B151" i="1"/>
  <c r="B148" i="1"/>
  <c r="B145" i="1"/>
  <c r="B143" i="1"/>
  <c r="B142" i="1"/>
  <c r="B135" i="1"/>
  <c r="B36" i="1" l="1"/>
  <c r="B117" i="1" l="1"/>
  <c r="B105" i="1"/>
  <c r="B109" i="1"/>
  <c r="B104" i="1"/>
  <c r="B95" i="1"/>
  <c r="B93" i="1"/>
  <c r="B90" i="1"/>
  <c r="B81" i="1"/>
  <c r="B77" i="1"/>
  <c r="B73" i="1"/>
  <c r="B69" i="1"/>
  <c r="B57" i="1"/>
  <c r="B52" i="1"/>
  <c r="B50" i="1"/>
  <c r="B42" i="1"/>
  <c r="B167" i="1"/>
  <c r="B15" i="1"/>
  <c r="A1" i="3" l="1"/>
  <c r="B210" i="1" l="1"/>
  <c r="B138" i="1"/>
  <c r="B18" i="1"/>
  <c r="B39" i="1"/>
  <c r="B38" i="1"/>
  <c r="B155" i="1"/>
  <c r="B160" i="1"/>
  <c r="B223" i="1" l="1"/>
  <c r="B222" i="1"/>
  <c r="B221" i="1"/>
  <c r="B218" i="1"/>
  <c r="B149" i="1"/>
  <c r="B130" i="1"/>
  <c r="B147" i="1"/>
  <c r="B146" i="1"/>
  <c r="B132" i="1"/>
  <c r="B144" i="1"/>
  <c r="B140" i="1"/>
  <c r="B136" i="1"/>
  <c r="B139" i="1"/>
  <c r="B141" i="1"/>
  <c r="B133" i="1"/>
  <c r="B131" i="1"/>
  <c r="B185" i="1"/>
  <c r="B203" i="1"/>
  <c r="B208" i="1"/>
  <c r="B211" i="1"/>
  <c r="B207" i="1"/>
  <c r="B78" i="1"/>
  <c r="B75" i="1"/>
  <c r="B67" i="1"/>
  <c r="B60" i="1"/>
  <c r="B86" i="1"/>
  <c r="B87" i="1"/>
  <c r="B83" i="1"/>
  <c r="B80" i="1"/>
  <c r="B82" i="1"/>
  <c r="B101" i="1"/>
  <c r="B100" i="1"/>
  <c r="B99" i="1"/>
  <c r="B107" i="1"/>
  <c r="B111" i="1"/>
  <c r="B119" i="1"/>
  <c r="B120" i="1"/>
  <c r="B108" i="1"/>
  <c r="B116" i="1"/>
  <c r="B114" i="1"/>
  <c r="B113" i="1"/>
  <c r="B127" i="1"/>
  <c r="B97" i="1"/>
  <c r="B96" i="1"/>
  <c r="B12" i="1"/>
  <c r="B11" i="1"/>
  <c r="B94" i="1"/>
  <c r="B121" i="1" l="1"/>
  <c r="B124" i="1"/>
  <c r="B125" i="1"/>
  <c r="B122" i="1"/>
  <c r="B129" i="1"/>
  <c r="B153" i="1"/>
  <c r="B150" i="1"/>
  <c r="B200" i="1"/>
  <c r="B202" i="1"/>
  <c r="B191" i="1"/>
  <c r="B197" i="1"/>
  <c r="B195" i="1"/>
  <c r="B196" i="1"/>
  <c r="B198" i="1"/>
  <c r="B187" i="1"/>
  <c r="B212" i="1"/>
  <c r="B204" i="1"/>
  <c r="B21" i="1"/>
  <c r="B214" i="1"/>
  <c r="B213" i="1"/>
  <c r="B56" i="1"/>
  <c r="B62" i="1"/>
  <c r="B64" i="1"/>
  <c r="B65" i="1"/>
  <c r="B59" i="1"/>
  <c r="B53" i="1"/>
  <c r="B55" i="1"/>
  <c r="B54" i="1"/>
  <c r="B51" i="1"/>
  <c r="B58" i="1"/>
  <c r="B46" i="1"/>
  <c r="B49" i="1"/>
  <c r="B44" i="1"/>
  <c r="B45" i="1"/>
  <c r="B40" i="1"/>
  <c r="B41" i="1"/>
  <c r="B72" i="1"/>
  <c r="B66" i="1"/>
  <c r="B68" i="1"/>
  <c r="B166" i="1"/>
  <c r="B171" i="1"/>
  <c r="B174" i="1"/>
  <c r="B175" i="1"/>
  <c r="B172" i="1"/>
  <c r="B19" i="1"/>
  <c r="B168" i="1"/>
  <c r="B173" i="1"/>
  <c r="B177" i="1"/>
  <c r="B17" i="1"/>
  <c r="B176" i="1"/>
  <c r="B181" i="1"/>
  <c r="B98" i="1"/>
  <c r="B91" i="1"/>
  <c r="B88" i="1"/>
  <c r="B89" i="1"/>
  <c r="B71" i="1"/>
  <c r="B92" i="1"/>
  <c r="B10" i="1" l="1"/>
  <c r="B16" i="1"/>
  <c r="B227" i="1"/>
  <c r="B226" i="1"/>
  <c r="B228" i="1"/>
  <c r="B217" i="1"/>
  <c r="B206" i="1"/>
  <c r="B192" i="1"/>
  <c r="B193" i="1"/>
  <c r="B186" i="1"/>
  <c r="B184" i="1"/>
  <c r="B183" i="1"/>
  <c r="B182" i="1"/>
  <c r="B170" i="1"/>
  <c r="B164" i="1"/>
  <c r="B179" i="1"/>
  <c r="B169" i="1"/>
  <c r="B163" i="1"/>
  <c r="B162" i="1"/>
  <c r="B137" i="1"/>
  <c r="B158" i="1"/>
  <c r="B157" i="1"/>
  <c r="B154" i="1"/>
  <c r="B152" i="1"/>
  <c r="B134" i="1"/>
  <c r="B126" i="1"/>
  <c r="B115" i="1"/>
  <c r="B112" i="1"/>
  <c r="B102" i="1"/>
  <c r="B85" i="1"/>
  <c r="B79" i="1"/>
  <c r="B76" i="1" l="1"/>
  <c r="B74" i="1"/>
  <c r="B70" i="1"/>
  <c r="B37" i="1"/>
  <c r="B61" i="1"/>
  <c r="B47" i="1"/>
  <c r="B48" i="1"/>
  <c r="B43" i="1"/>
  <c r="B123" i="1"/>
  <c r="B118" i="1"/>
  <c r="B16" i="3"/>
  <c r="B110" i="1"/>
  <c r="B63" i="1"/>
  <c r="B180" i="1"/>
  <c r="B188" i="1"/>
  <c r="B232" i="1" l="1"/>
  <c r="B23" i="1"/>
  <c r="B30" i="3"/>
  <c r="B32" i="3" s="1"/>
  <c r="B235" i="1" l="1"/>
  <c r="C2" i="2"/>
  <c r="B29" i="2" l="1"/>
  <c r="B15" i="2" l="1"/>
  <c r="C2" i="4"/>
  <c r="A2" i="4"/>
  <c r="A1" i="4"/>
  <c r="C2" i="3"/>
  <c r="A2" i="3"/>
  <c r="A2" i="2"/>
  <c r="A1" i="2"/>
  <c r="B33" i="2" l="1"/>
</calcChain>
</file>

<file path=xl/sharedStrings.xml><?xml version="1.0" encoding="utf-8"?>
<sst xmlns="http://schemas.openxmlformats.org/spreadsheetml/2006/main" count="760" uniqueCount="186">
  <si>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</si>
  <si>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</si>
  <si>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</si>
  <si>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</si>
  <si>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</si>
  <si>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</si>
  <si>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</si>
  <si>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</si>
  <si>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</si>
  <si>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</si>
  <si>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</si>
  <si>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</si>
  <si>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</si>
  <si>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</si>
  <si>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</si>
  <si>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</si>
  <si>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</si>
  <si>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</si>
  <si>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</si>
  <si>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</si>
  <si>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</si>
  <si>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</si>
  <si>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</si>
  <si>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</si>
  <si>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</si>
  <si>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</si>
  <si>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</t>
  </si>
  <si>
    <t>Nil</t>
  </si>
  <si>
    <t>Name of CE: Pauline A Winter</t>
  </si>
  <si>
    <t>Auckland</t>
  </si>
  <si>
    <t>Taxi</t>
  </si>
  <si>
    <t>Wellington</t>
  </si>
  <si>
    <t>Carparking</t>
  </si>
  <si>
    <t>Airfare</t>
  </si>
  <si>
    <t>Wellington/Auckland return</t>
  </si>
  <si>
    <t>Auckland/Wellington return</t>
  </si>
  <si>
    <t>Auckland/Wellington</t>
  </si>
  <si>
    <t>Total travel expenses 
for the period</t>
  </si>
  <si>
    <t>Airport carparking</t>
  </si>
  <si>
    <t>Meal</t>
  </si>
  <si>
    <t>Meal allowances</t>
  </si>
  <si>
    <t>Meals</t>
  </si>
  <si>
    <t>Christchurch</t>
  </si>
  <si>
    <t>Accommodation</t>
  </si>
  <si>
    <t>Total other expenses for the period</t>
  </si>
  <si>
    <t>Total hospitality expenses for the period</t>
  </si>
  <si>
    <t>Immunisations</t>
  </si>
  <si>
    <t>Wellington/Auckland</t>
  </si>
  <si>
    <t>Wellington/Melbourne</t>
  </si>
  <si>
    <t>6 - 9/11/2015</t>
  </si>
  <si>
    <t>4 - 5/11/15</t>
  </si>
  <si>
    <t>Wellington/Christchurch</t>
  </si>
  <si>
    <t>Christchurch/Wellington</t>
  </si>
  <si>
    <t>2 - 3/09/2015</t>
  </si>
  <si>
    <t>Lunch</t>
  </si>
  <si>
    <t>9 - 12/11/2015</t>
  </si>
  <si>
    <t>Meal expense</t>
  </si>
  <si>
    <t>6 - 9/09/2015</t>
  </si>
  <si>
    <t>9 - 10/09/2015</t>
  </si>
  <si>
    <t>10 &amp; 11/09/2015</t>
  </si>
  <si>
    <t>22 - 25/09/2015</t>
  </si>
  <si>
    <t>28 - 29/09/2015</t>
  </si>
  <si>
    <t>28 - 30/10/2015</t>
  </si>
  <si>
    <t>Dinner</t>
  </si>
  <si>
    <t>Regional Visit (Ako Aotearoa presentation)</t>
  </si>
  <si>
    <t>5 - 6/11/2015</t>
  </si>
  <si>
    <t>23 - 26/11/2015</t>
  </si>
  <si>
    <t>Regional visit (Lomu/Sunpix Awards/Committee for Akld/Maori Trades)</t>
  </si>
  <si>
    <t>Regional visit (Committee for Auckland/Trades Training)</t>
  </si>
  <si>
    <t>1 - 2/02/2016</t>
  </si>
  <si>
    <t>Auckland/Waitangi return</t>
  </si>
  <si>
    <t>Private vehicle usage</t>
  </si>
  <si>
    <t>Meal allowance</t>
  </si>
  <si>
    <t>Waitangi</t>
  </si>
  <si>
    <t>7 - 10/12/2015</t>
  </si>
  <si>
    <t>15 - 18/03/2016</t>
  </si>
  <si>
    <t>Airport Carparking</t>
  </si>
  <si>
    <t>30 - 31/03/2016</t>
  </si>
  <si>
    <t>1 - 9/04/2016</t>
  </si>
  <si>
    <t>20 - 21/04/2016</t>
  </si>
  <si>
    <t>Bus</t>
  </si>
  <si>
    <t>Meals and taxi</t>
  </si>
  <si>
    <t>Melbourne</t>
  </si>
  <si>
    <t>Meals and passport renewal</t>
  </si>
  <si>
    <t>Wellington/</t>
  </si>
  <si>
    <t>Attending Ministerial Cross-Sector Forum on Raising Achievement</t>
  </si>
  <si>
    <t>6 - 7/10/2015</t>
  </si>
  <si>
    <t>Attending Maori Women's Welfare League 2015 National Conference</t>
  </si>
  <si>
    <t>Whangarei</t>
  </si>
  <si>
    <t>Apia, Samoa</t>
  </si>
  <si>
    <t>Conference Registration</t>
  </si>
  <si>
    <t>Regional visit - Ako Aotearoa presentation</t>
  </si>
  <si>
    <t>Intercity - Committee 4 Auckland</t>
  </si>
  <si>
    <t>Attend Pacific Business Trust - 30 years event</t>
  </si>
  <si>
    <t>Attend Air NZ annual parliamentary reception</t>
  </si>
  <si>
    <t>Attend Niuean ceremony at Cenotaph</t>
  </si>
  <si>
    <t>Attend Tertiary Education Commission Dinner at Te Papa</t>
  </si>
  <si>
    <t>Attend 175th Anniversary of the NZ Customs Service</t>
  </si>
  <si>
    <t>Attend annual fundraiser at the Australian High Commission</t>
  </si>
  <si>
    <t>Attend NZ Pacific Tertiary Education forum</t>
  </si>
  <si>
    <t>Return from Regional visit - Ako Aotearoa</t>
  </si>
  <si>
    <t>Attend meeting with Pacific Business Trust - Strategic Planning Session</t>
  </si>
  <si>
    <t>Attend Social Sector Priorities Ministers meeting</t>
  </si>
  <si>
    <t>Meet with Minister, attend a function at the Embassy Cinema</t>
  </si>
  <si>
    <t>Attend Executive Leadership meeting with SSC</t>
  </si>
  <si>
    <t>Regional office engagement</t>
  </si>
  <si>
    <t xml:space="preserve">Attend Book launch </t>
  </si>
  <si>
    <t>Attend Whanau Ora Pacific Awards</t>
  </si>
  <si>
    <t xml:space="preserve">Attend Social Sector board Chief Executives meeting at MSD </t>
  </si>
  <si>
    <t>Attend Prime Ministers Pacific Youth Awards</t>
  </si>
  <si>
    <t>Attend Staff fono day event</t>
  </si>
  <si>
    <t>Attend YES National Youth awards gala dinner</t>
  </si>
  <si>
    <t>Attend Pacific Education Centre board meeting</t>
  </si>
  <si>
    <t>Regional engagement</t>
  </si>
  <si>
    <t>Return from airport to Wellington Office</t>
  </si>
  <si>
    <t>Present at the Women in the Public Sector Summit</t>
  </si>
  <si>
    <t>Attend Social Sector Board Chief Executives Meeting</t>
  </si>
  <si>
    <t>Attend NZ Problem Oriented Policing Awards</t>
  </si>
  <si>
    <t>Attend NZ Police National Pacific Advisory Forum</t>
  </si>
  <si>
    <t>Attend Prime Ministers Education Excellence Awards, Regional engagement</t>
  </si>
  <si>
    <t>Mobile phone costs</t>
  </si>
  <si>
    <t>Mobile phone</t>
  </si>
  <si>
    <t>Trip to Samoa - RSE Conference</t>
  </si>
  <si>
    <t xml:space="preserve">Carparking </t>
  </si>
  <si>
    <t>9/07/2015 - 11/07/2015</t>
  </si>
  <si>
    <t>8/07/ 2015 - 12/07/2015</t>
  </si>
  <si>
    <t>3/07/2015 - 14/07/2015</t>
  </si>
  <si>
    <t>Trip to Melbourne - ANZSOG Conference</t>
  </si>
  <si>
    <t>Trip to Auckland Meeting with Ministry Auckland stakeholder</t>
  </si>
  <si>
    <t>02/08/2015 - 05/08/2015</t>
  </si>
  <si>
    <t xml:space="preserve">Ministry-led regional event </t>
  </si>
  <si>
    <t>Regional meeting with key Ministry stakeholders</t>
  </si>
  <si>
    <t>09/08/2015 - 12/08/2016</t>
  </si>
  <si>
    <t>12/08/2015 - 13/08/2015</t>
  </si>
  <si>
    <t>02/03/16 - 06/03/16</t>
  </si>
  <si>
    <t>Auckland - Wellington</t>
  </si>
  <si>
    <t>NIL</t>
  </si>
  <si>
    <t>Airfare/fee</t>
  </si>
  <si>
    <t>Meetings with Auckland regional stakeholders</t>
  </si>
  <si>
    <t xml:space="preserve">Meetings with Auckland regional stakeholders </t>
  </si>
  <si>
    <t>Regional meeting with key Ministry stakeholders [x3]</t>
  </si>
  <si>
    <t>Auckland meetings with MOE</t>
  </si>
  <si>
    <t>PM Cook Islands visit</t>
  </si>
  <si>
    <t>Attend Social Sector meeting</t>
  </si>
  <si>
    <t xml:space="preserve">ELT Meeting in Auckland </t>
  </si>
  <si>
    <t xml:space="preserve">Meetings in Auckland </t>
  </si>
  <si>
    <t>Auckland regional office all staff meeting</t>
  </si>
  <si>
    <t xml:space="preserve">Attend Staff Fono   </t>
  </si>
  <si>
    <t>Attend PEC meeting</t>
  </si>
  <si>
    <t>PMPYA Meetings</t>
  </si>
  <si>
    <t xml:space="preserve">Regional engagement - Auckland </t>
  </si>
  <si>
    <t>Attend various agency meetings in Wellington</t>
  </si>
  <si>
    <t>Meetings with key stakeholder in Auckland</t>
  </si>
  <si>
    <t xml:space="preserve">Meeting with Pacific Business Trust </t>
  </si>
  <si>
    <t xml:space="preserve">Opening Christchurch Office </t>
  </si>
  <si>
    <t>Regional Engagement - Christchurch</t>
  </si>
  <si>
    <t>Regional Engagement - Wellington</t>
  </si>
  <si>
    <t>Attended DPM meeting</t>
  </si>
  <si>
    <t>Meeting with key Auckland stakeholders</t>
  </si>
  <si>
    <t>Travel</t>
  </si>
  <si>
    <t>Airfare / fee</t>
  </si>
  <si>
    <t>Meeting with Auckland stakeholder</t>
  </si>
  <si>
    <t xml:space="preserve">Trip to Samoa - Regional Seasonal Employment (RSE) Conference </t>
  </si>
  <si>
    <t xml:space="preserve"> </t>
  </si>
  <si>
    <t>Meetings with Wellington key stakeholders</t>
  </si>
  <si>
    <t>Auckland meetings with Ministry of Education (MOE)</t>
  </si>
  <si>
    <t>Intercity - Lomu service</t>
  </si>
  <si>
    <t>Intercity travel</t>
  </si>
  <si>
    <t>Intercity Travel</t>
  </si>
  <si>
    <t>Victoria University book launch (VP Pasifika)</t>
  </si>
  <si>
    <t>Regional Visit (Launch of the Cook Islands Dictionary)</t>
  </si>
  <si>
    <t>Launch of the Ministry For Women Report on violence prevention</t>
  </si>
  <si>
    <t>Meeting with corporate sponsors of PMPYA</t>
  </si>
  <si>
    <t>Waitangi Day attendance</t>
  </si>
  <si>
    <t>Attended funeral for CE Pacific Business Trust</t>
  </si>
  <si>
    <t>Professional Development</t>
  </si>
  <si>
    <t>Conference</t>
  </si>
  <si>
    <t>For period 01/07/2015 - 30/06/2016</t>
  </si>
  <si>
    <t>19/07/2015 - 20/07/2015</t>
  </si>
  <si>
    <t>Attend Digital Government event at Amora Hotel Wellington</t>
  </si>
  <si>
    <t>Attend meeting with Ministry of Education</t>
  </si>
  <si>
    <t>Intercity to Eden Park - Lomu service</t>
  </si>
  <si>
    <t>Prime Minister's Pacific Youth Awards (PMPYA) Meetings</t>
  </si>
  <si>
    <t xml:space="preserve">Attending event at Parliament </t>
  </si>
  <si>
    <t>Attending event at Parliament</t>
  </si>
  <si>
    <t xml:space="preserve">Name of organisation: Ministry for Pacific Peoples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</si>
</sst>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</numFmts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6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6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5" borderId="2" xfId="0" applyFont="1" applyFill="1" applyBorder="1" applyAlignment="1">
      <alignment wrapText="1"/>
    </xf>
    <xf numFmtId="0" fontId="0" fillId="5" borderId="0" xfId="0" applyFill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1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43" fontId="1" fillId="4" borderId="2" xfId="0" applyNumberFormat="1" applyFont="1" applyFill="1" applyBorder="1" applyAlignment="1"/>
    <xf numFmtId="43" fontId="1" fillId="0" borderId="1" xfId="0" applyNumberFormat="1" applyFont="1" applyBorder="1" applyAlignment="1">
      <alignment wrapText="1"/>
    </xf>
    <xf numFmtId="14" fontId="1" fillId="0" borderId="2" xfId="0" applyNumberFormat="1" applyFont="1" applyBorder="1" applyAlignment="1">
      <alignment horizontal="left" wrapText="1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vertical="top" wrapText="1"/>
    </xf>
    <xf numFmtId="14" fontId="3" fillId="2" borderId="2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14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14" fontId="3" fillId="3" borderId="2" xfId="0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43" fontId="1" fillId="0" borderId="2" xfId="0" applyNumberFormat="1" applyFont="1" applyBorder="1" applyAlignment="1">
      <alignment wrapText="1"/>
    </xf>
    <xf numFmtId="43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vertical="top" wrapText="1"/>
    </xf>
    <xf numFmtId="14" fontId="8" fillId="0" borderId="0" xfId="0" applyNumberFormat="1" applyFont="1" applyAlignment="1">
      <alignment horizontal="left" wrapText="1"/>
    </xf>
    <xf numFmtId="0" fontId="8" fillId="0" borderId="0" xfId="0" applyFont="1"/>
    <xf numFmtId="14" fontId="8" fillId="0" borderId="0" xfId="0" applyNumberFormat="1" applyFont="1" applyAlignment="1">
      <alignment wrapText="1"/>
    </xf>
    <xf numFmtId="14" fontId="9" fillId="0" borderId="0" xfId="0" applyNumberFormat="1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43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164" fontId="3" fillId="3" borderId="2" xfId="0" applyNumberFormat="1" applyFont="1" applyFill="1" applyBorder="1" applyAlignment="1">
      <alignment horizontal="left" wrapText="1"/>
    </xf>
    <xf numFmtId="164" fontId="1" fillId="0" borderId="2" xfId="0" applyNumberFormat="1" applyFont="1" applyBorder="1" applyAlignment="1">
      <alignment horizontal="left" wrapText="1"/>
    </xf>
    <xf numFmtId="164" fontId="3" fillId="5" borderId="2" xfId="0" applyNumberFormat="1" applyFont="1" applyFill="1" applyBorder="1" applyAlignment="1">
      <alignment horizontal="left" wrapText="1"/>
    </xf>
    <xf numFmtId="164" fontId="0" fillId="0" borderId="1" xfId="0" applyNumberFormat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44" fontId="3" fillId="3" borderId="2" xfId="0" applyNumberFormat="1" applyFont="1" applyFill="1" applyBorder="1" applyAlignment="1">
      <alignment wrapText="1"/>
    </xf>
    <xf numFmtId="44" fontId="1" fillId="0" borderId="2" xfId="0" applyNumberFormat="1" applyFont="1" applyBorder="1" applyAlignment="1">
      <alignment wrapText="1"/>
    </xf>
    <xf numFmtId="44" fontId="0" fillId="0" borderId="0" xfId="0" applyNumberFormat="1" applyFont="1" applyAlignment="1">
      <alignment wrapText="1"/>
    </xf>
    <xf numFmtId="44" fontId="3" fillId="5" borderId="2" xfId="0" applyNumberFormat="1" applyFont="1" applyFill="1" applyBorder="1" applyAlignment="1">
      <alignment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14" fontId="0" fillId="0" borderId="0" xfId="0" applyNumberFormat="1" applyFont="1" applyAlignment="1">
      <alignment horizontal="left" wrapText="1"/>
    </xf>
    <xf numFmtId="43" fontId="0" fillId="0" borderId="0" xfId="0" applyNumberFormat="1" applyFont="1" applyAlignment="1">
      <alignment wrapText="1"/>
    </xf>
    <xf numFmtId="14" fontId="0" fillId="0" borderId="0" xfId="0" applyNumberFormat="1" applyFont="1" applyAlignment="1">
      <alignment wrapText="1"/>
    </xf>
    <xf numFmtId="14" fontId="0" fillId="0" borderId="0" xfId="0" quotePrefix="1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14" fontId="8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43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4" fontId="8" fillId="0" borderId="0" xfId="0" quotePrefix="1" applyNumberFormat="1" applyFont="1" applyFill="1" applyAlignment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 horizontal="right" wrapText="1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43" fontId="0" fillId="0" borderId="0" xfId="0" applyNumberFormat="1" applyFont="1" applyBorder="1" applyAlignment="1">
      <alignment horizontal="left" vertical="top" wrapText="1"/>
    </xf>
    <xf numFmtId="43" fontId="0" fillId="0" borderId="0" xfId="0" applyNumberFormat="1" applyFont="1" applyFill="1" applyAlignment="1">
      <alignment vertical="top" wrapText="1"/>
    </xf>
    <xf numFmtId="43" fontId="8" fillId="0" borderId="0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14" fontId="3" fillId="2" borderId="2" xfId="0" applyNumberFormat="1" applyFont="1" applyFill="1" applyBorder="1" applyAlignment="1">
      <alignment horizontal="left" wrapText="1"/>
    </xf>
    <xf numFmtId="43" fontId="1" fillId="0" borderId="2" xfId="0" applyNumberFormat="1" applyFont="1" applyBorder="1" applyAlignment="1">
      <alignment horizontal="left" wrapText="1"/>
    </xf>
    <xf numFmtId="14" fontId="0" fillId="0" borderId="0" xfId="0" applyNumberFormat="1" applyAlignment="1">
      <alignment horizontal="left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3" fontId="0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ont="1" applyFill="1" applyAlignment="1">
      <alignment horizontal="left" vertical="top" wrapText="1"/>
    </xf>
    <xf numFmtId="14" fontId="0" fillId="0" borderId="0" xfId="0" applyNumberFormat="1" applyFill="1" applyAlignment="1">
      <alignment horizontal="left" vertical="top" wrapText="1"/>
    </xf>
    <xf numFmtId="43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43" fontId="12" fillId="0" borderId="0" xfId="0" applyNumberFormat="1" applyFont="1" applyFill="1" applyBorder="1" applyAlignment="1">
      <alignment horizontal="left" vertical="top" wrapText="1"/>
    </xf>
    <xf numFmtId="43" fontId="1" fillId="0" borderId="2" xfId="0" applyNumberFormat="1" applyFont="1" applyFill="1" applyBorder="1" applyAlignment="1">
      <alignment horizontal="right" wrapText="1"/>
    </xf>
    <xf numFmtId="43" fontId="1" fillId="0" borderId="2" xfId="0" applyNumberFormat="1" applyFont="1" applyFill="1" applyBorder="1" applyAlignment="1">
      <alignment horizontal="right" vertical="top" wrapText="1"/>
    </xf>
    <xf numFmtId="43" fontId="8" fillId="0" borderId="0" xfId="0" applyNumberFormat="1" applyFont="1" applyFill="1" applyBorder="1" applyAlignment="1">
      <alignment horizontal="left" vertical="top" wrapText="1"/>
    </xf>
    <xf numFmtId="43" fontId="0" fillId="0" borderId="2" xfId="0" applyNumberFormat="1" applyFill="1" applyBorder="1" applyAlignment="1">
      <alignment wrapText="1"/>
    </xf>
    <xf numFmtId="43" fontId="0" fillId="0" borderId="0" xfId="0" applyNumberFormat="1" applyFill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8" fillId="0" borderId="0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14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Alignment="1">
      <alignment horizontal="right" wrapText="1"/>
    </xf>
    <xf numFmtId="164" fontId="8" fillId="0" borderId="0" xfId="0" applyNumberFormat="1" applyFont="1" applyAlignment="1">
      <alignment horizontal="left" wrapText="1"/>
    </xf>
    <xf numFmtId="14" fontId="6" fillId="4" borderId="2" xfId="0" applyNumberFormat="1" applyFont="1" applyFill="1" applyBorder="1" applyAlignment="1">
      <alignment horizontal="left" wrapText="1"/>
    </xf>
    <xf numFmtId="0" fontId="3" fillId="3" borderId="2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5"/>
  <sheetViews>
    <sheetView zoomScale="115" zoomScaleNormal="115" workbookViewId="0">
      <selection sqref="A1:E1"/>
    </sheetView>
  </sheetViews>
  <sheetFormatPr defaultColWidth="9.1796875" defaultRowHeight="18" customHeight="1" x14ac:dyDescent="0.25"/>
  <cols>
    <col min="1" max="1" width="24.1796875" style="79" customWidth="1"/>
    <col min="2" max="2" width="13" style="96" customWidth="1"/>
    <col min="3" max="3" width="72.1796875" style="103" customWidth="1"/>
    <col min="4" max="4" width="27.1796875" style="2" customWidth="1"/>
    <col min="5" max="5" width="28.81640625" style="2" customWidth="1"/>
    <col min="6" max="6" width="19.54296875" style="2" hidden="1" customWidth="1"/>
    <col min="7" max="7" width="46" style="2" bestFit="1" customWidth="1"/>
    <col min="8" max="16384" width="9.1796875" style="2"/>
  </cols>
  <sheetData>
    <row r="1" spans="1:7" s="7" customFormat="1" ht="18" customHeight="1" x14ac:dyDescent="0.4">
      <c r="A1" s="112" t="s">
        <v>185</v>
      </c>
      <c r="B1" s="113"/>
      <c r="C1" s="113"/>
      <c r="D1" s="113"/>
      <c r="E1" s="113"/>
    </row>
    <row r="2" spans="1:7" s="3" customFormat="1" ht="18" customHeight="1" x14ac:dyDescent="0.35">
      <c r="A2" s="114" t="s">
        <v>28</v>
      </c>
      <c r="B2" s="115"/>
      <c r="C2" s="114" t="s">
        <v>177</v>
      </c>
      <c r="D2" s="115"/>
    </row>
    <row r="3" spans="1:7" s="4" customFormat="1" ht="18" customHeight="1" x14ac:dyDescent="0.35">
      <c r="A3" s="77" t="s">
        <v>3</v>
      </c>
      <c r="B3" s="116" t="s">
        <v>4</v>
      </c>
      <c r="C3" s="116"/>
    </row>
    <row r="4" spans="1:7" s="3" customFormat="1" ht="30.75" customHeight="1" x14ac:dyDescent="0.3">
      <c r="A4" s="22" t="s">
        <v>0</v>
      </c>
      <c r="B4" s="92" t="s">
        <v>2</v>
      </c>
      <c r="C4" s="98" t="s">
        <v>5</v>
      </c>
      <c r="D4" s="3" t="s">
        <v>6</v>
      </c>
      <c r="E4" s="3" t="s">
        <v>1</v>
      </c>
    </row>
    <row r="5" spans="1:7" s="24" customFormat="1" ht="18" customHeight="1" x14ac:dyDescent="0.25">
      <c r="A5" s="23" t="s">
        <v>27</v>
      </c>
      <c r="B5" s="87">
        <v>0</v>
      </c>
      <c r="C5" s="99"/>
    </row>
    <row r="6" spans="1:7" s="24" customFormat="1" ht="18" customHeight="1" x14ac:dyDescent="0.25">
      <c r="A6" s="23"/>
      <c r="B6" s="87"/>
      <c r="C6" s="99"/>
    </row>
    <row r="7" spans="1:7" s="26" customFormat="1" ht="18" customHeight="1" x14ac:dyDescent="0.25">
      <c r="A7" s="25" t="s">
        <v>3</v>
      </c>
      <c r="B7" s="117" t="s">
        <v>7</v>
      </c>
      <c r="C7" s="117"/>
    </row>
    <row r="8" spans="1:7" s="28" customFormat="1" ht="26" x14ac:dyDescent="0.25">
      <c r="A8" s="27" t="s">
        <v>0</v>
      </c>
      <c r="B8" s="93" t="s">
        <v>2</v>
      </c>
      <c r="C8" s="100"/>
    </row>
    <row r="9" spans="1:7" s="24" customFormat="1" ht="18" customHeight="1" x14ac:dyDescent="0.25">
      <c r="A9" s="23"/>
      <c r="B9" s="87"/>
      <c r="C9" s="97"/>
    </row>
    <row r="10" spans="1:7" s="24" customFormat="1" ht="12.5" x14ac:dyDescent="0.25">
      <c r="A10" s="23">
        <v>42188</v>
      </c>
      <c r="B10" s="87">
        <f>334.23-105.87</f>
        <v>228.36</v>
      </c>
      <c r="C10" s="83" t="s">
        <v>162</v>
      </c>
      <c r="D10" s="24" t="s">
        <v>83</v>
      </c>
      <c r="E10" s="24" t="s">
        <v>31</v>
      </c>
    </row>
    <row r="11" spans="1:7" s="24" customFormat="1" ht="18" customHeight="1" x14ac:dyDescent="0.25">
      <c r="A11" s="23" t="s">
        <v>124</v>
      </c>
      <c r="B11" s="87">
        <f>225</f>
        <v>225</v>
      </c>
      <c r="C11" s="83" t="s">
        <v>122</v>
      </c>
      <c r="D11" s="24" t="s">
        <v>90</v>
      </c>
      <c r="E11" s="24" t="s">
        <v>89</v>
      </c>
      <c r="G11" s="80"/>
    </row>
    <row r="12" spans="1:7" s="24" customFormat="1" ht="18" customHeight="1" x14ac:dyDescent="0.25">
      <c r="A12" s="23" t="s">
        <v>125</v>
      </c>
      <c r="B12" s="87">
        <f>193.2</f>
        <v>193.2</v>
      </c>
      <c r="C12" s="83" t="s">
        <v>122</v>
      </c>
      <c r="D12" s="24" t="s">
        <v>43</v>
      </c>
      <c r="E12" s="24" t="s">
        <v>89</v>
      </c>
      <c r="G12" s="80"/>
    </row>
    <row r="13" spans="1:7" s="24" customFormat="1" ht="18" customHeight="1" x14ac:dyDescent="0.25">
      <c r="A13" s="86" t="s">
        <v>126</v>
      </c>
      <c r="B13" s="87">
        <v>20</v>
      </c>
      <c r="C13" s="83" t="s">
        <v>122</v>
      </c>
      <c r="D13" s="88" t="s">
        <v>123</v>
      </c>
      <c r="E13" s="88" t="s">
        <v>35</v>
      </c>
      <c r="G13" s="81"/>
    </row>
    <row r="14" spans="1:7" s="24" customFormat="1" ht="18" customHeight="1" x14ac:dyDescent="0.25">
      <c r="A14" s="86">
        <v>42195</v>
      </c>
      <c r="B14" s="87">
        <v>83.5</v>
      </c>
      <c r="C14" s="83" t="s">
        <v>122</v>
      </c>
      <c r="D14" s="88" t="s">
        <v>46</v>
      </c>
      <c r="E14" s="88" t="s">
        <v>31</v>
      </c>
      <c r="G14" s="80"/>
    </row>
    <row r="15" spans="1:7" s="43" customFormat="1" ht="18" customHeight="1" x14ac:dyDescent="0.25">
      <c r="A15" s="41" t="s">
        <v>134</v>
      </c>
      <c r="B15" s="74">
        <f>605.75+92.5+92.5</f>
        <v>790.75</v>
      </c>
      <c r="C15" s="83" t="s">
        <v>127</v>
      </c>
      <c r="D15" s="43" t="s">
        <v>33</v>
      </c>
      <c r="E15" s="43" t="s">
        <v>48</v>
      </c>
    </row>
    <row r="16" spans="1:7" s="43" customFormat="1" ht="18" customHeight="1" x14ac:dyDescent="0.25">
      <c r="A16" s="23">
        <v>42432</v>
      </c>
      <c r="B16" s="87">
        <f>65.64</f>
        <v>65.64</v>
      </c>
      <c r="C16" s="83" t="s">
        <v>127</v>
      </c>
      <c r="D16" s="24" t="s">
        <v>81</v>
      </c>
      <c r="E16" s="24" t="s">
        <v>82</v>
      </c>
    </row>
    <row r="17" spans="1:6" s="43" customFormat="1" ht="18" customHeight="1" x14ac:dyDescent="0.25">
      <c r="A17" s="41">
        <v>42432</v>
      </c>
      <c r="B17" s="84">
        <f>32.94</f>
        <v>32.94</v>
      </c>
      <c r="C17" s="83" t="s">
        <v>127</v>
      </c>
      <c r="D17" s="72" t="s">
        <v>30</v>
      </c>
      <c r="E17" s="72" t="s">
        <v>31</v>
      </c>
    </row>
    <row r="18" spans="1:6" s="43" customFormat="1" ht="18" customHeight="1" x14ac:dyDescent="0.25">
      <c r="A18" s="41">
        <v>42440</v>
      </c>
      <c r="B18" s="84">
        <f>20</f>
        <v>20</v>
      </c>
      <c r="C18" s="83" t="s">
        <v>127</v>
      </c>
      <c r="D18" s="72" t="s">
        <v>30</v>
      </c>
      <c r="E18" s="72" t="s">
        <v>31</v>
      </c>
    </row>
    <row r="19" spans="1:6" s="43" customFormat="1" ht="18" customHeight="1" x14ac:dyDescent="0.25">
      <c r="A19" s="41">
        <v>42440</v>
      </c>
      <c r="B19" s="84">
        <f>41.58</f>
        <v>41.58</v>
      </c>
      <c r="C19" s="83" t="s">
        <v>127</v>
      </c>
      <c r="D19" s="72" t="s">
        <v>30</v>
      </c>
      <c r="E19" s="72" t="s">
        <v>31</v>
      </c>
    </row>
    <row r="20" spans="1:6" s="43" customFormat="1" ht="18" customHeight="1" x14ac:dyDescent="0.25">
      <c r="A20" s="41">
        <v>42440</v>
      </c>
      <c r="B20" s="84">
        <f>431+95</f>
        <v>526</v>
      </c>
      <c r="C20" s="83" t="s">
        <v>127</v>
      </c>
      <c r="D20" s="72" t="s">
        <v>33</v>
      </c>
      <c r="E20" s="72" t="s">
        <v>34</v>
      </c>
    </row>
    <row r="21" spans="1:6" s="43" customFormat="1" ht="18" customHeight="1" x14ac:dyDescent="0.25">
      <c r="A21" s="41">
        <v>42440</v>
      </c>
      <c r="B21" s="84">
        <f>100.44</f>
        <v>100.44</v>
      </c>
      <c r="C21" s="83" t="s">
        <v>127</v>
      </c>
      <c r="D21" s="72" t="s">
        <v>30</v>
      </c>
      <c r="E21" s="72" t="s">
        <v>29</v>
      </c>
    </row>
    <row r="22" spans="1:6" s="24" customFormat="1" ht="18" customHeight="1" x14ac:dyDescent="0.25">
      <c r="A22" s="23"/>
      <c r="B22" s="87"/>
      <c r="C22" s="97"/>
    </row>
    <row r="23" spans="1:6" s="24" customFormat="1" ht="18" customHeight="1" x14ac:dyDescent="0.25">
      <c r="A23" s="40" t="s">
        <v>26</v>
      </c>
      <c r="B23" s="87">
        <f>SUM(B10:B22)</f>
        <v>2327.4100000000003</v>
      </c>
      <c r="C23" s="97" t="s">
        <v>163</v>
      </c>
    </row>
    <row r="24" spans="1:6" s="24" customFormat="1" ht="18" customHeight="1" x14ac:dyDescent="0.25">
      <c r="A24" s="23"/>
      <c r="B24" s="87"/>
      <c r="C24" s="99"/>
    </row>
    <row r="25" spans="1:6" s="30" customFormat="1" ht="18" customHeight="1" x14ac:dyDescent="0.25">
      <c r="A25" s="29" t="s">
        <v>8</v>
      </c>
      <c r="B25" s="111" t="s">
        <v>4</v>
      </c>
      <c r="C25" s="111"/>
    </row>
    <row r="26" spans="1:6" s="28" customFormat="1" ht="26" x14ac:dyDescent="0.25">
      <c r="A26" s="27" t="s">
        <v>0</v>
      </c>
      <c r="B26" s="93" t="s">
        <v>2</v>
      </c>
      <c r="C26" s="100" t="s">
        <v>24</v>
      </c>
      <c r="D26" s="28" t="s">
        <v>6</v>
      </c>
      <c r="E26" s="28" t="s">
        <v>1</v>
      </c>
    </row>
    <row r="27" spans="1:6" s="63" customFormat="1" ht="18" customHeight="1" x14ac:dyDescent="0.25">
      <c r="A27" s="35" t="s">
        <v>136</v>
      </c>
      <c r="B27" s="94"/>
      <c r="C27" s="97"/>
    </row>
    <row r="28" spans="1:6" s="34" customFormat="1" ht="18" customHeight="1" x14ac:dyDescent="0.3">
      <c r="A28" s="35"/>
      <c r="B28" s="94"/>
      <c r="C28" s="101"/>
      <c r="D28" s="31"/>
      <c r="E28" s="31"/>
      <c r="F28" s="31"/>
    </row>
    <row r="29" spans="1:6" s="31" customFormat="1" ht="18" customHeight="1" x14ac:dyDescent="0.25">
      <c r="A29" s="61"/>
      <c r="B29" s="65"/>
      <c r="C29" s="97"/>
    </row>
    <row r="30" spans="1:6" s="43" customFormat="1" ht="18" customHeight="1" x14ac:dyDescent="0.25">
      <c r="A30" s="41"/>
      <c r="B30" s="74"/>
      <c r="C30" s="83"/>
    </row>
    <row r="31" spans="1:6" s="31" customFormat="1" ht="18" customHeight="1" x14ac:dyDescent="0.25">
      <c r="A31" s="40" t="s">
        <v>26</v>
      </c>
      <c r="B31" s="74">
        <v>0</v>
      </c>
      <c r="C31" s="97"/>
    </row>
    <row r="32" spans="1:6" s="24" customFormat="1" ht="18" customHeight="1" x14ac:dyDescent="0.25">
      <c r="A32" s="23"/>
      <c r="B32" s="87"/>
      <c r="C32" s="99"/>
    </row>
    <row r="33" spans="1:7" s="30" customFormat="1" ht="18" customHeight="1" x14ac:dyDescent="0.25">
      <c r="A33" s="29" t="s">
        <v>9</v>
      </c>
      <c r="B33" s="111" t="s">
        <v>7</v>
      </c>
      <c r="C33" s="111"/>
    </row>
    <row r="34" spans="1:7" s="28" customFormat="1" ht="34.5" customHeight="1" x14ac:dyDescent="0.25">
      <c r="A34" s="27" t="s">
        <v>0</v>
      </c>
      <c r="B34" s="93" t="s">
        <v>2</v>
      </c>
      <c r="C34" s="100" t="s">
        <v>24</v>
      </c>
      <c r="D34" s="28" t="s">
        <v>6</v>
      </c>
      <c r="E34" s="28" t="s">
        <v>1</v>
      </c>
    </row>
    <row r="35" spans="1:7" s="63" customFormat="1" ht="18" customHeight="1" x14ac:dyDescent="0.25">
      <c r="A35" s="35"/>
      <c r="B35" s="94"/>
      <c r="C35" s="97"/>
    </row>
    <row r="36" spans="1:7" s="72" customFormat="1" ht="18" customHeight="1" x14ac:dyDescent="0.25">
      <c r="A36" s="41">
        <v>42202</v>
      </c>
      <c r="B36" s="84">
        <f>232+40+67+9.3+30</f>
        <v>378.3</v>
      </c>
      <c r="C36" s="83" t="s">
        <v>128</v>
      </c>
      <c r="D36" s="72" t="s">
        <v>33</v>
      </c>
      <c r="E36" s="72" t="s">
        <v>47</v>
      </c>
    </row>
    <row r="37" spans="1:7" s="72" customFormat="1" ht="18" customHeight="1" x14ac:dyDescent="0.25">
      <c r="A37" s="41" t="s">
        <v>178</v>
      </c>
      <c r="B37" s="84">
        <f>84</f>
        <v>84</v>
      </c>
      <c r="C37" s="83" t="s">
        <v>128</v>
      </c>
      <c r="D37" s="72" t="s">
        <v>32</v>
      </c>
      <c r="E37" s="72" t="s">
        <v>29</v>
      </c>
    </row>
    <row r="38" spans="1:7" s="72" customFormat="1" ht="18" customHeight="1" x14ac:dyDescent="0.25">
      <c r="A38" s="85">
        <v>42214</v>
      </c>
      <c r="B38" s="84">
        <f>21.3</f>
        <v>21.3</v>
      </c>
      <c r="C38" s="83" t="s">
        <v>128</v>
      </c>
      <c r="D38" s="83" t="s">
        <v>30</v>
      </c>
      <c r="E38" s="83" t="s">
        <v>29</v>
      </c>
      <c r="G38" s="82"/>
    </row>
    <row r="39" spans="1:7" s="72" customFormat="1" ht="18" customHeight="1" x14ac:dyDescent="0.25">
      <c r="A39" s="85">
        <v>42214</v>
      </c>
      <c r="B39" s="84">
        <f>20.7</f>
        <v>20.7</v>
      </c>
      <c r="C39" s="83" t="s">
        <v>128</v>
      </c>
      <c r="D39" s="83" t="s">
        <v>30</v>
      </c>
      <c r="E39" s="83" t="s">
        <v>29</v>
      </c>
      <c r="G39" s="82"/>
    </row>
    <row r="40" spans="1:7" s="72" customFormat="1" ht="18" customHeight="1" x14ac:dyDescent="0.25">
      <c r="A40" s="41">
        <v>42215</v>
      </c>
      <c r="B40" s="84">
        <f>40.61</f>
        <v>40.61</v>
      </c>
      <c r="C40" s="83" t="s">
        <v>167</v>
      </c>
      <c r="D40" s="72" t="s">
        <v>30</v>
      </c>
      <c r="E40" s="72" t="s">
        <v>31</v>
      </c>
    </row>
    <row r="41" spans="1:7" s="72" customFormat="1" ht="18" customHeight="1" x14ac:dyDescent="0.25">
      <c r="A41" s="41">
        <v>42215</v>
      </c>
      <c r="B41" s="84">
        <f>37.58</f>
        <v>37.58</v>
      </c>
      <c r="C41" s="83" t="s">
        <v>167</v>
      </c>
      <c r="D41" s="72" t="s">
        <v>30</v>
      </c>
      <c r="E41" s="72" t="s">
        <v>31</v>
      </c>
    </row>
    <row r="42" spans="1:7" s="83" customFormat="1" ht="18" customHeight="1" x14ac:dyDescent="0.25">
      <c r="A42" s="85">
        <v>42215</v>
      </c>
      <c r="B42" s="84">
        <f>79+164+67+86</f>
        <v>396</v>
      </c>
      <c r="C42" s="83" t="s">
        <v>139</v>
      </c>
      <c r="D42" s="83" t="s">
        <v>33</v>
      </c>
      <c r="E42" s="83" t="s">
        <v>47</v>
      </c>
      <c r="G42" s="89"/>
    </row>
    <row r="43" spans="1:7" s="72" customFormat="1" ht="18" customHeight="1" x14ac:dyDescent="0.25">
      <c r="A43" s="41" t="s">
        <v>129</v>
      </c>
      <c r="B43" s="84">
        <f>44</f>
        <v>44</v>
      </c>
      <c r="C43" s="83" t="s">
        <v>138</v>
      </c>
      <c r="D43" s="72" t="s">
        <v>38</v>
      </c>
      <c r="E43" s="72" t="s">
        <v>29</v>
      </c>
      <c r="G43" s="89"/>
    </row>
    <row r="44" spans="1:7" s="72" customFormat="1" ht="18" customHeight="1" x14ac:dyDescent="0.25">
      <c r="A44" s="41">
        <v>42221</v>
      </c>
      <c r="B44" s="84">
        <f>34.13</f>
        <v>34.130000000000003</v>
      </c>
      <c r="C44" s="83" t="s">
        <v>138</v>
      </c>
      <c r="D44" s="72" t="s">
        <v>30</v>
      </c>
      <c r="E44" s="72" t="s">
        <v>31</v>
      </c>
      <c r="G44" s="89"/>
    </row>
    <row r="45" spans="1:7" s="72" customFormat="1" ht="18" customHeight="1" x14ac:dyDescent="0.25">
      <c r="A45" s="41">
        <v>42222</v>
      </c>
      <c r="B45" s="84">
        <f>14.69</f>
        <v>14.69</v>
      </c>
      <c r="C45" s="83" t="s">
        <v>130</v>
      </c>
      <c r="D45" s="72" t="s">
        <v>30</v>
      </c>
      <c r="E45" s="72" t="s">
        <v>29</v>
      </c>
    </row>
    <row r="46" spans="1:7" s="72" customFormat="1" ht="18" customHeight="1" x14ac:dyDescent="0.25">
      <c r="A46" s="41">
        <v>42222</v>
      </c>
      <c r="B46" s="84">
        <f>21.6</f>
        <v>21.6</v>
      </c>
      <c r="C46" s="83" t="s">
        <v>131</v>
      </c>
      <c r="D46" s="72" t="s">
        <v>30</v>
      </c>
      <c r="E46" s="72" t="s">
        <v>29</v>
      </c>
    </row>
    <row r="47" spans="1:7" s="72" customFormat="1" ht="18" customHeight="1" x14ac:dyDescent="0.25">
      <c r="A47" s="85">
        <v>42222</v>
      </c>
      <c r="B47" s="84">
        <f>64.25</f>
        <v>64.25</v>
      </c>
      <c r="C47" s="83" t="s">
        <v>140</v>
      </c>
      <c r="D47" s="83" t="s">
        <v>56</v>
      </c>
      <c r="E47" s="83" t="s">
        <v>29</v>
      </c>
    </row>
    <row r="48" spans="1:7" s="72" customFormat="1" ht="18" customHeight="1" x14ac:dyDescent="0.25">
      <c r="A48" s="41" t="s">
        <v>132</v>
      </c>
      <c r="B48" s="84">
        <f>48</f>
        <v>48</v>
      </c>
      <c r="C48" s="83" t="s">
        <v>161</v>
      </c>
      <c r="D48" s="72" t="s">
        <v>38</v>
      </c>
      <c r="E48" s="72" t="s">
        <v>29</v>
      </c>
    </row>
    <row r="49" spans="1:7" s="72" customFormat="1" ht="18" customHeight="1" x14ac:dyDescent="0.25">
      <c r="A49" s="41">
        <v>42228</v>
      </c>
      <c r="B49" s="84">
        <f>33.8</f>
        <v>33.799999999999997</v>
      </c>
      <c r="C49" s="83" t="s">
        <v>164</v>
      </c>
      <c r="D49" s="72" t="s">
        <v>30</v>
      </c>
      <c r="E49" s="72" t="s">
        <v>31</v>
      </c>
    </row>
    <row r="50" spans="1:7" s="72" customFormat="1" ht="18" customHeight="1" x14ac:dyDescent="0.25">
      <c r="A50" s="85">
        <v>42228</v>
      </c>
      <c r="B50" s="84">
        <f>40+431</f>
        <v>471</v>
      </c>
      <c r="C50" s="83" t="s">
        <v>138</v>
      </c>
      <c r="D50" s="83" t="s">
        <v>33</v>
      </c>
      <c r="E50" s="83" t="s">
        <v>47</v>
      </c>
      <c r="G50" s="90"/>
    </row>
    <row r="51" spans="1:7" s="72" customFormat="1" ht="18" customHeight="1" x14ac:dyDescent="0.25">
      <c r="A51" s="41" t="s">
        <v>133</v>
      </c>
      <c r="B51" s="84">
        <f>49</f>
        <v>49</v>
      </c>
      <c r="C51" s="83" t="s">
        <v>138</v>
      </c>
      <c r="D51" s="72" t="s">
        <v>38</v>
      </c>
      <c r="E51" s="72" t="s">
        <v>29</v>
      </c>
    </row>
    <row r="52" spans="1:7" s="72" customFormat="1" ht="18" customHeight="1" x14ac:dyDescent="0.25">
      <c r="A52" s="41">
        <v>42229</v>
      </c>
      <c r="B52" s="84">
        <f>40+232</f>
        <v>272</v>
      </c>
      <c r="C52" s="83" t="s">
        <v>138</v>
      </c>
      <c r="D52" s="72" t="s">
        <v>33</v>
      </c>
      <c r="E52" s="72" t="s">
        <v>31</v>
      </c>
    </row>
    <row r="53" spans="1:7" s="72" customFormat="1" ht="18" customHeight="1" x14ac:dyDescent="0.25">
      <c r="A53" s="41">
        <v>42231</v>
      </c>
      <c r="B53" s="84">
        <f>38.12</f>
        <v>38.119999999999997</v>
      </c>
      <c r="C53" s="83" t="s">
        <v>138</v>
      </c>
      <c r="D53" s="72" t="s">
        <v>30</v>
      </c>
      <c r="E53" s="72" t="s">
        <v>31</v>
      </c>
    </row>
    <row r="54" spans="1:7" s="72" customFormat="1" ht="18" customHeight="1" x14ac:dyDescent="0.25">
      <c r="A54" s="41">
        <v>42231</v>
      </c>
      <c r="B54" s="84">
        <f>86</f>
        <v>86</v>
      </c>
      <c r="C54" s="83" t="s">
        <v>138</v>
      </c>
      <c r="D54" s="72" t="s">
        <v>137</v>
      </c>
      <c r="E54" s="72" t="s">
        <v>36</v>
      </c>
    </row>
    <row r="55" spans="1:7" s="72" customFormat="1" ht="18" customHeight="1" x14ac:dyDescent="0.25">
      <c r="A55" s="41">
        <v>42235</v>
      </c>
      <c r="B55" s="84">
        <f>7.99</f>
        <v>7.99</v>
      </c>
      <c r="C55" s="83" t="s">
        <v>138</v>
      </c>
      <c r="D55" s="72" t="s">
        <v>30</v>
      </c>
      <c r="E55" s="72" t="s">
        <v>31</v>
      </c>
    </row>
    <row r="56" spans="1:7" s="72" customFormat="1" ht="18" customHeight="1" x14ac:dyDescent="0.25">
      <c r="A56" s="41">
        <v>42235</v>
      </c>
      <c r="B56" s="84">
        <f>42.12</f>
        <v>42.12</v>
      </c>
      <c r="C56" s="83" t="s">
        <v>165</v>
      </c>
      <c r="D56" s="72" t="s">
        <v>30</v>
      </c>
      <c r="E56" s="72" t="s">
        <v>31</v>
      </c>
    </row>
    <row r="57" spans="1:7" s="72" customFormat="1" ht="18" customHeight="1" x14ac:dyDescent="0.25">
      <c r="A57" s="41">
        <v>42235</v>
      </c>
      <c r="B57" s="84">
        <f>259+66</f>
        <v>325</v>
      </c>
      <c r="C57" s="83" t="s">
        <v>141</v>
      </c>
      <c r="D57" s="72" t="s">
        <v>33</v>
      </c>
      <c r="E57" s="72" t="s">
        <v>47</v>
      </c>
    </row>
    <row r="58" spans="1:7" s="72" customFormat="1" ht="18" customHeight="1" x14ac:dyDescent="0.25">
      <c r="A58" s="41">
        <v>42236</v>
      </c>
      <c r="B58" s="84">
        <f>23.11</f>
        <v>23.11</v>
      </c>
      <c r="C58" s="83" t="s">
        <v>141</v>
      </c>
      <c r="D58" s="72" t="s">
        <v>30</v>
      </c>
      <c r="E58" s="72" t="s">
        <v>29</v>
      </c>
    </row>
    <row r="59" spans="1:7" s="72" customFormat="1" ht="18" customHeight="1" x14ac:dyDescent="0.25">
      <c r="A59" s="41">
        <v>42236</v>
      </c>
      <c r="B59" s="84">
        <f>23.76</f>
        <v>23.76</v>
      </c>
      <c r="C59" s="83" t="s">
        <v>141</v>
      </c>
      <c r="D59" s="72" t="s">
        <v>30</v>
      </c>
      <c r="E59" s="72" t="s">
        <v>29</v>
      </c>
    </row>
    <row r="60" spans="1:7" s="72" customFormat="1" ht="18" customHeight="1" x14ac:dyDescent="0.25">
      <c r="A60" s="41">
        <v>42236</v>
      </c>
      <c r="B60" s="84">
        <f>56.16</f>
        <v>56.16</v>
      </c>
      <c r="C60" s="83" t="s">
        <v>142</v>
      </c>
      <c r="D60" s="72" t="s">
        <v>30</v>
      </c>
      <c r="E60" s="72" t="s">
        <v>29</v>
      </c>
    </row>
    <row r="61" spans="1:7" s="72" customFormat="1" ht="18" customHeight="1" x14ac:dyDescent="0.25">
      <c r="A61" s="41">
        <v>42237</v>
      </c>
      <c r="B61" s="84">
        <f>21</f>
        <v>21</v>
      </c>
      <c r="C61" s="83" t="s">
        <v>138</v>
      </c>
      <c r="D61" s="72" t="s">
        <v>32</v>
      </c>
      <c r="E61" s="72" t="s">
        <v>29</v>
      </c>
    </row>
    <row r="62" spans="1:7" s="72" customFormat="1" ht="18" customHeight="1" x14ac:dyDescent="0.25">
      <c r="A62" s="41">
        <v>42238</v>
      </c>
      <c r="B62" s="84">
        <f>93.96</f>
        <v>93.96</v>
      </c>
      <c r="C62" s="83" t="s">
        <v>138</v>
      </c>
      <c r="D62" s="72" t="s">
        <v>30</v>
      </c>
      <c r="E62" s="72" t="s">
        <v>29</v>
      </c>
    </row>
    <row r="63" spans="1:7" s="72" customFormat="1" ht="18" customHeight="1" x14ac:dyDescent="0.25">
      <c r="A63" s="41">
        <v>42238</v>
      </c>
      <c r="B63" s="84">
        <f>164</f>
        <v>164</v>
      </c>
      <c r="C63" s="83" t="s">
        <v>138</v>
      </c>
      <c r="D63" s="72" t="s">
        <v>33</v>
      </c>
      <c r="E63" s="72" t="s">
        <v>36</v>
      </c>
    </row>
    <row r="64" spans="1:7" s="72" customFormat="1" ht="18" customHeight="1" x14ac:dyDescent="0.25">
      <c r="A64" s="41">
        <v>42238</v>
      </c>
      <c r="B64" s="84">
        <f>38.02</f>
        <v>38.020000000000003</v>
      </c>
      <c r="C64" s="83" t="s">
        <v>138</v>
      </c>
      <c r="D64" s="72" t="s">
        <v>30</v>
      </c>
      <c r="E64" s="72" t="s">
        <v>31</v>
      </c>
    </row>
    <row r="65" spans="1:7" s="72" customFormat="1" ht="12.5" x14ac:dyDescent="0.25">
      <c r="A65" s="41">
        <v>42243</v>
      </c>
      <c r="B65" s="84">
        <f>10.8</f>
        <v>10.8</v>
      </c>
      <c r="C65" s="83" t="s">
        <v>168</v>
      </c>
      <c r="D65" s="72" t="s">
        <v>30</v>
      </c>
      <c r="E65" s="72" t="s">
        <v>31</v>
      </c>
    </row>
    <row r="66" spans="1:7" s="72" customFormat="1" ht="18" customHeight="1" x14ac:dyDescent="0.25">
      <c r="A66" s="41">
        <v>42249</v>
      </c>
      <c r="B66" s="84">
        <f>6.59</f>
        <v>6.59</v>
      </c>
      <c r="C66" s="83" t="s">
        <v>169</v>
      </c>
      <c r="D66" s="72" t="s">
        <v>30</v>
      </c>
      <c r="E66" s="72" t="s">
        <v>31</v>
      </c>
      <c r="G66" s="72" t="s">
        <v>163</v>
      </c>
    </row>
    <row r="67" spans="1:7" s="72" customFormat="1" ht="18" customHeight="1" x14ac:dyDescent="0.25">
      <c r="A67" s="41">
        <v>42249</v>
      </c>
      <c r="B67" s="84">
        <f>94.39</f>
        <v>94.39</v>
      </c>
      <c r="C67" s="83" t="s">
        <v>169</v>
      </c>
      <c r="D67" s="72" t="s">
        <v>30</v>
      </c>
      <c r="E67" s="72" t="s">
        <v>31</v>
      </c>
    </row>
    <row r="68" spans="1:7" s="72" customFormat="1" ht="18" customHeight="1" x14ac:dyDescent="0.25">
      <c r="A68" s="41">
        <v>42615</v>
      </c>
      <c r="B68" s="84">
        <f>35.53</f>
        <v>35.53</v>
      </c>
      <c r="C68" s="83" t="s">
        <v>138</v>
      </c>
      <c r="D68" s="72" t="s">
        <v>30</v>
      </c>
      <c r="E68" s="72" t="s">
        <v>31</v>
      </c>
    </row>
    <row r="69" spans="1:7" s="72" customFormat="1" ht="18" customHeight="1" x14ac:dyDescent="0.25">
      <c r="A69" s="41" t="s">
        <v>53</v>
      </c>
      <c r="B69" s="84">
        <f>417+19+40</f>
        <v>476</v>
      </c>
      <c r="C69" s="83" t="s">
        <v>138</v>
      </c>
      <c r="D69" s="72" t="s">
        <v>33</v>
      </c>
      <c r="E69" s="72" t="s">
        <v>34</v>
      </c>
    </row>
    <row r="70" spans="1:7" s="72" customFormat="1" ht="18" customHeight="1" x14ac:dyDescent="0.25">
      <c r="A70" s="41" t="s">
        <v>57</v>
      </c>
      <c r="B70" s="84">
        <f>70</f>
        <v>70</v>
      </c>
      <c r="C70" s="83" t="s">
        <v>138</v>
      </c>
      <c r="D70" s="72" t="s">
        <v>38</v>
      </c>
      <c r="E70" s="72" t="s">
        <v>29</v>
      </c>
    </row>
    <row r="71" spans="1:7" s="72" customFormat="1" ht="18" customHeight="1" x14ac:dyDescent="0.25">
      <c r="A71" s="41">
        <v>42254</v>
      </c>
      <c r="B71" s="84">
        <f>9.72</f>
        <v>9.7200000000000006</v>
      </c>
      <c r="C71" s="83" t="s">
        <v>138</v>
      </c>
      <c r="D71" s="72" t="s">
        <v>30</v>
      </c>
      <c r="E71" s="72" t="s">
        <v>31</v>
      </c>
    </row>
    <row r="72" spans="1:7" s="72" customFormat="1" ht="18" customHeight="1" x14ac:dyDescent="0.25">
      <c r="A72" s="41">
        <v>42256</v>
      </c>
      <c r="B72" s="84">
        <f>34.02</f>
        <v>34.020000000000003</v>
      </c>
      <c r="C72" s="83" t="s">
        <v>138</v>
      </c>
      <c r="D72" s="72" t="s">
        <v>30</v>
      </c>
      <c r="E72" s="72" t="s">
        <v>31</v>
      </c>
    </row>
    <row r="73" spans="1:7" s="72" customFormat="1" ht="18" customHeight="1" x14ac:dyDescent="0.25">
      <c r="A73" s="41">
        <v>42256</v>
      </c>
      <c r="B73" s="84">
        <f>259+9.3+40</f>
        <v>308.3</v>
      </c>
      <c r="C73" s="83" t="s">
        <v>138</v>
      </c>
      <c r="D73" s="72" t="s">
        <v>33</v>
      </c>
      <c r="E73" s="72" t="s">
        <v>47</v>
      </c>
    </row>
    <row r="74" spans="1:7" s="72" customFormat="1" ht="18" customHeight="1" x14ac:dyDescent="0.25">
      <c r="A74" s="41" t="s">
        <v>58</v>
      </c>
      <c r="B74" s="84">
        <f>45.9</f>
        <v>45.9</v>
      </c>
      <c r="C74" s="83" t="s">
        <v>138</v>
      </c>
      <c r="D74" s="72" t="s">
        <v>38</v>
      </c>
      <c r="E74" s="72" t="s">
        <v>29</v>
      </c>
    </row>
    <row r="75" spans="1:7" s="72" customFormat="1" ht="18" customHeight="1" x14ac:dyDescent="0.25">
      <c r="A75" s="41">
        <v>42258</v>
      </c>
      <c r="B75" s="84">
        <f>10.98</f>
        <v>10.98</v>
      </c>
      <c r="C75" s="83" t="s">
        <v>138</v>
      </c>
      <c r="D75" s="72" t="s">
        <v>30</v>
      </c>
      <c r="E75" s="72" t="s">
        <v>29</v>
      </c>
    </row>
    <row r="76" spans="1:7" s="72" customFormat="1" ht="18" customHeight="1" x14ac:dyDescent="0.25">
      <c r="A76" s="41" t="s">
        <v>59</v>
      </c>
      <c r="B76" s="84">
        <f>80.8</f>
        <v>80.8</v>
      </c>
      <c r="C76" s="83" t="s">
        <v>138</v>
      </c>
      <c r="D76" s="72" t="s">
        <v>41</v>
      </c>
      <c r="E76" s="72" t="s">
        <v>29</v>
      </c>
    </row>
    <row r="77" spans="1:7" s="72" customFormat="1" ht="18" customHeight="1" x14ac:dyDescent="0.25">
      <c r="A77" s="41">
        <v>42260</v>
      </c>
      <c r="B77" s="84">
        <f>125+9.7</f>
        <v>134.69999999999999</v>
      </c>
      <c r="C77" s="83" t="s">
        <v>143</v>
      </c>
      <c r="D77" s="72" t="s">
        <v>33</v>
      </c>
      <c r="E77" s="72" t="s">
        <v>36</v>
      </c>
    </row>
    <row r="78" spans="1:7" s="72" customFormat="1" ht="18" customHeight="1" x14ac:dyDescent="0.25">
      <c r="A78" s="41">
        <v>42263</v>
      </c>
      <c r="B78" s="84">
        <f>19.66</f>
        <v>19.66</v>
      </c>
      <c r="C78" s="83" t="s">
        <v>93</v>
      </c>
      <c r="D78" s="72" t="s">
        <v>30</v>
      </c>
      <c r="E78" s="72" t="s">
        <v>31</v>
      </c>
    </row>
    <row r="79" spans="1:7" s="72" customFormat="1" ht="18" customHeight="1" x14ac:dyDescent="0.25">
      <c r="A79" s="41" t="s">
        <v>60</v>
      </c>
      <c r="B79" s="84">
        <f>44</f>
        <v>44</v>
      </c>
      <c r="C79" s="83" t="s">
        <v>93</v>
      </c>
      <c r="D79" s="72" t="s">
        <v>38</v>
      </c>
      <c r="E79" s="72" t="s">
        <v>29</v>
      </c>
    </row>
    <row r="80" spans="1:7" s="72" customFormat="1" ht="18" customHeight="1" x14ac:dyDescent="0.25">
      <c r="A80" s="41">
        <v>42272</v>
      </c>
      <c r="B80" s="84">
        <f>34.24</f>
        <v>34.24</v>
      </c>
      <c r="C80" s="83" t="s">
        <v>93</v>
      </c>
      <c r="D80" s="72" t="s">
        <v>30</v>
      </c>
      <c r="E80" s="72" t="s">
        <v>31</v>
      </c>
    </row>
    <row r="81" spans="1:5" s="72" customFormat="1" ht="18" customHeight="1" x14ac:dyDescent="0.25">
      <c r="A81" s="41">
        <v>42272</v>
      </c>
      <c r="B81" s="84">
        <f>259+9.3</f>
        <v>268.3</v>
      </c>
      <c r="C81" s="83" t="s">
        <v>93</v>
      </c>
      <c r="D81" s="72" t="s">
        <v>33</v>
      </c>
      <c r="E81" s="72" t="s">
        <v>47</v>
      </c>
    </row>
    <row r="82" spans="1:5" s="72" customFormat="1" ht="18" customHeight="1" x14ac:dyDescent="0.25">
      <c r="A82" s="41">
        <v>42275</v>
      </c>
      <c r="B82" s="84">
        <f>21.82</f>
        <v>21.82</v>
      </c>
      <c r="C82" s="83" t="s">
        <v>144</v>
      </c>
      <c r="D82" s="72" t="s">
        <v>30</v>
      </c>
      <c r="E82" s="72" t="s">
        <v>29</v>
      </c>
    </row>
    <row r="83" spans="1:5" s="72" customFormat="1" ht="18" customHeight="1" x14ac:dyDescent="0.25">
      <c r="A83" s="41">
        <v>42275</v>
      </c>
      <c r="B83" s="84">
        <f>11.88</f>
        <v>11.88</v>
      </c>
      <c r="C83" s="83" t="s">
        <v>145</v>
      </c>
      <c r="D83" s="72" t="s">
        <v>30</v>
      </c>
      <c r="E83" s="72" t="s">
        <v>29</v>
      </c>
    </row>
    <row r="84" spans="1:5" s="72" customFormat="1" ht="18" customHeight="1" x14ac:dyDescent="0.25">
      <c r="A84" s="41">
        <v>42275</v>
      </c>
      <c r="B84" s="84">
        <v>8.5</v>
      </c>
      <c r="C84" s="83" t="s">
        <v>139</v>
      </c>
      <c r="D84" s="72" t="s">
        <v>39</v>
      </c>
      <c r="E84" s="72" t="s">
        <v>29</v>
      </c>
    </row>
    <row r="85" spans="1:5" s="72" customFormat="1" ht="18" customHeight="1" x14ac:dyDescent="0.25">
      <c r="A85" s="41" t="s">
        <v>61</v>
      </c>
      <c r="B85" s="84">
        <f>65</f>
        <v>65</v>
      </c>
      <c r="C85" s="83" t="s">
        <v>139</v>
      </c>
      <c r="D85" s="72" t="s">
        <v>40</v>
      </c>
      <c r="E85" s="72" t="s">
        <v>29</v>
      </c>
    </row>
    <row r="86" spans="1:5" s="72" customFormat="1" ht="18" customHeight="1" x14ac:dyDescent="0.25">
      <c r="A86" s="41">
        <v>42276</v>
      </c>
      <c r="B86" s="84">
        <f>25.92</f>
        <v>25.92</v>
      </c>
      <c r="C86" s="83" t="s">
        <v>139</v>
      </c>
      <c r="D86" s="72" t="s">
        <v>30</v>
      </c>
      <c r="E86" s="72" t="s">
        <v>29</v>
      </c>
    </row>
    <row r="87" spans="1:5" s="72" customFormat="1" ht="18" customHeight="1" x14ac:dyDescent="0.25">
      <c r="A87" s="41">
        <v>42276</v>
      </c>
      <c r="B87" s="84">
        <f>11.45</f>
        <v>11.45</v>
      </c>
      <c r="C87" s="83" t="s">
        <v>139</v>
      </c>
      <c r="D87" s="72" t="s">
        <v>30</v>
      </c>
      <c r="E87" s="72" t="s">
        <v>29</v>
      </c>
    </row>
    <row r="88" spans="1:5" s="72" customFormat="1" ht="18" customHeight="1" x14ac:dyDescent="0.25">
      <c r="A88" s="41">
        <v>42276</v>
      </c>
      <c r="B88" s="84">
        <f>35.42</f>
        <v>35.42</v>
      </c>
      <c r="C88" s="83" t="s">
        <v>139</v>
      </c>
      <c r="D88" s="72" t="s">
        <v>30</v>
      </c>
      <c r="E88" s="72" t="s">
        <v>29</v>
      </c>
    </row>
    <row r="89" spans="1:5" s="72" customFormat="1" ht="18" customHeight="1" x14ac:dyDescent="0.25">
      <c r="A89" s="41">
        <v>42277</v>
      </c>
      <c r="B89" s="84">
        <f>99.58</f>
        <v>99.58</v>
      </c>
      <c r="C89" s="83" t="s">
        <v>139</v>
      </c>
      <c r="D89" s="72" t="s">
        <v>30</v>
      </c>
      <c r="E89" s="72" t="s">
        <v>29</v>
      </c>
    </row>
    <row r="90" spans="1:5" s="72" customFormat="1" ht="18" customHeight="1" x14ac:dyDescent="0.25">
      <c r="A90" s="41">
        <v>42277</v>
      </c>
      <c r="B90" s="84">
        <f>164+9.7</f>
        <v>173.7</v>
      </c>
      <c r="C90" s="83" t="s">
        <v>139</v>
      </c>
      <c r="D90" s="72" t="s">
        <v>33</v>
      </c>
      <c r="E90" s="72" t="s">
        <v>36</v>
      </c>
    </row>
    <row r="91" spans="1:5" s="72" customFormat="1" ht="18" customHeight="1" x14ac:dyDescent="0.25">
      <c r="A91" s="41">
        <v>42283</v>
      </c>
      <c r="B91" s="84">
        <f>101.09</f>
        <v>101.09</v>
      </c>
      <c r="C91" s="83" t="s">
        <v>87</v>
      </c>
      <c r="D91" s="72" t="s">
        <v>30</v>
      </c>
      <c r="E91" s="72" t="s">
        <v>29</v>
      </c>
    </row>
    <row r="92" spans="1:5" s="72" customFormat="1" ht="18" customHeight="1" x14ac:dyDescent="0.25">
      <c r="A92" s="41">
        <v>42283</v>
      </c>
      <c r="B92" s="84">
        <f>42.01</f>
        <v>42.01</v>
      </c>
      <c r="C92" s="83" t="s">
        <v>87</v>
      </c>
      <c r="D92" s="72" t="s">
        <v>30</v>
      </c>
      <c r="E92" s="72" t="s">
        <v>31</v>
      </c>
    </row>
    <row r="93" spans="1:5" s="72" customFormat="1" ht="18" customHeight="1" x14ac:dyDescent="0.25">
      <c r="A93" s="41">
        <v>42283</v>
      </c>
      <c r="B93" s="84">
        <f>259+9.3</f>
        <v>268.3</v>
      </c>
      <c r="C93" s="83" t="s">
        <v>87</v>
      </c>
      <c r="D93" s="72" t="s">
        <v>33</v>
      </c>
      <c r="E93" s="72" t="s">
        <v>47</v>
      </c>
    </row>
    <row r="94" spans="1:5" s="72" customFormat="1" ht="18" customHeight="1" x14ac:dyDescent="0.25">
      <c r="A94" s="41" t="s">
        <v>86</v>
      </c>
      <c r="B94" s="84">
        <f>367.2</f>
        <v>367.2</v>
      </c>
      <c r="C94" s="83" t="s">
        <v>87</v>
      </c>
      <c r="D94" s="72" t="s">
        <v>43</v>
      </c>
      <c r="E94" s="72" t="s">
        <v>88</v>
      </c>
    </row>
    <row r="95" spans="1:5" s="72" customFormat="1" ht="18" customHeight="1" x14ac:dyDescent="0.25">
      <c r="A95" s="41">
        <v>42289</v>
      </c>
      <c r="B95" s="84">
        <f>204+9.3</f>
        <v>213.3</v>
      </c>
      <c r="C95" s="83" t="s">
        <v>87</v>
      </c>
      <c r="D95" s="72" t="s">
        <v>33</v>
      </c>
      <c r="E95" s="72" t="s">
        <v>36</v>
      </c>
    </row>
    <row r="96" spans="1:5" s="72" customFormat="1" ht="18" customHeight="1" x14ac:dyDescent="0.25">
      <c r="A96" s="41">
        <v>42290</v>
      </c>
      <c r="B96" s="84">
        <f>82.3</f>
        <v>82.3</v>
      </c>
      <c r="C96" s="83" t="s">
        <v>146</v>
      </c>
      <c r="D96" s="72" t="s">
        <v>30</v>
      </c>
      <c r="E96" s="72" t="s">
        <v>29</v>
      </c>
    </row>
    <row r="97" spans="1:7" s="72" customFormat="1" ht="18" customHeight="1" x14ac:dyDescent="0.25">
      <c r="A97" s="41">
        <v>42290</v>
      </c>
      <c r="B97" s="84">
        <f>50.54</f>
        <v>50.54</v>
      </c>
      <c r="C97" s="83" t="s">
        <v>94</v>
      </c>
      <c r="D97" s="72" t="s">
        <v>30</v>
      </c>
      <c r="E97" s="72" t="s">
        <v>29</v>
      </c>
    </row>
    <row r="98" spans="1:7" s="72" customFormat="1" ht="18" customHeight="1" x14ac:dyDescent="0.25">
      <c r="A98" s="41">
        <v>42290</v>
      </c>
      <c r="B98" s="84">
        <f>48.38</f>
        <v>48.38</v>
      </c>
      <c r="C98" s="83" t="s">
        <v>94</v>
      </c>
      <c r="D98" s="72" t="s">
        <v>30</v>
      </c>
      <c r="E98" s="72" t="s">
        <v>31</v>
      </c>
    </row>
    <row r="99" spans="1:7" s="72" customFormat="1" ht="18" customHeight="1" x14ac:dyDescent="0.25">
      <c r="A99" s="41">
        <v>42295</v>
      </c>
      <c r="B99" s="84">
        <f>11.12</f>
        <v>11.12</v>
      </c>
      <c r="C99" s="83" t="s">
        <v>95</v>
      </c>
      <c r="D99" s="72" t="s">
        <v>30</v>
      </c>
      <c r="E99" s="72" t="s">
        <v>31</v>
      </c>
    </row>
    <row r="100" spans="1:7" s="72" customFormat="1" ht="18" customHeight="1" x14ac:dyDescent="0.25">
      <c r="A100" s="41">
        <v>42297</v>
      </c>
      <c r="B100" s="84">
        <f>10.48</f>
        <v>10.48</v>
      </c>
      <c r="C100" s="83" t="s">
        <v>96</v>
      </c>
      <c r="D100" s="72" t="s">
        <v>30</v>
      </c>
      <c r="E100" s="72" t="s">
        <v>31</v>
      </c>
    </row>
    <row r="101" spans="1:7" s="72" customFormat="1" ht="18" customHeight="1" x14ac:dyDescent="0.25">
      <c r="A101" s="41">
        <v>42297</v>
      </c>
      <c r="B101" s="84">
        <f>12.2</f>
        <v>12.2</v>
      </c>
      <c r="C101" s="83" t="s">
        <v>96</v>
      </c>
      <c r="D101" s="72" t="s">
        <v>30</v>
      </c>
      <c r="E101" s="72" t="s">
        <v>31</v>
      </c>
    </row>
    <row r="102" spans="1:7" s="72" customFormat="1" ht="18" customHeight="1" x14ac:dyDescent="0.25">
      <c r="A102" s="41">
        <v>42304</v>
      </c>
      <c r="B102" s="84">
        <f>9</f>
        <v>9</v>
      </c>
      <c r="C102" s="83" t="s">
        <v>170</v>
      </c>
      <c r="D102" s="72" t="s">
        <v>32</v>
      </c>
      <c r="E102" s="72" t="s">
        <v>29</v>
      </c>
      <c r="G102" s="72" t="s">
        <v>163</v>
      </c>
    </row>
    <row r="103" spans="1:7" s="72" customFormat="1" ht="18" customHeight="1" x14ac:dyDescent="0.25">
      <c r="A103" s="41">
        <v>42304</v>
      </c>
      <c r="B103" s="84">
        <v>18</v>
      </c>
      <c r="C103" s="83" t="s">
        <v>170</v>
      </c>
      <c r="D103" s="72" t="s">
        <v>32</v>
      </c>
      <c r="E103" s="72" t="s">
        <v>29</v>
      </c>
    </row>
    <row r="104" spans="1:7" s="72" customFormat="1" ht="18" customHeight="1" x14ac:dyDescent="0.25">
      <c r="A104" s="41">
        <v>42304</v>
      </c>
      <c r="B104" s="84">
        <f>125+9.7+325+9.3</f>
        <v>469</v>
      </c>
      <c r="C104" s="83" t="s">
        <v>179</v>
      </c>
      <c r="D104" s="72" t="s">
        <v>33</v>
      </c>
      <c r="E104" s="72" t="s">
        <v>36</v>
      </c>
    </row>
    <row r="105" spans="1:7" s="72" customFormat="1" ht="18" customHeight="1" x14ac:dyDescent="0.25">
      <c r="A105" s="41">
        <v>42306</v>
      </c>
      <c r="B105" s="84">
        <f>10.8+10.58</f>
        <v>21.380000000000003</v>
      </c>
      <c r="C105" s="83" t="s">
        <v>179</v>
      </c>
      <c r="D105" s="72" t="s">
        <v>30</v>
      </c>
      <c r="E105" s="72" t="s">
        <v>31</v>
      </c>
    </row>
    <row r="106" spans="1:7" s="72" customFormat="1" ht="18" customHeight="1" x14ac:dyDescent="0.25">
      <c r="A106" s="41" t="s">
        <v>62</v>
      </c>
      <c r="B106" s="84">
        <v>44</v>
      </c>
      <c r="C106" s="83" t="s">
        <v>179</v>
      </c>
      <c r="D106" s="72" t="s">
        <v>38</v>
      </c>
      <c r="E106" s="72" t="s">
        <v>29</v>
      </c>
    </row>
    <row r="107" spans="1:7" s="72" customFormat="1" ht="18" customHeight="1" x14ac:dyDescent="0.25">
      <c r="A107" s="41">
        <v>42311</v>
      </c>
      <c r="B107" s="84">
        <f>12.96</f>
        <v>12.96</v>
      </c>
      <c r="C107" s="83" t="s">
        <v>97</v>
      </c>
      <c r="D107" s="72" t="s">
        <v>30</v>
      </c>
      <c r="E107" s="72" t="s">
        <v>31</v>
      </c>
    </row>
    <row r="108" spans="1:7" s="72" customFormat="1" ht="18" customHeight="1" x14ac:dyDescent="0.25">
      <c r="A108" s="41">
        <v>42311</v>
      </c>
      <c r="B108" s="84">
        <f>11.23</f>
        <v>11.23</v>
      </c>
      <c r="C108" s="83" t="s">
        <v>98</v>
      </c>
      <c r="D108" s="72" t="s">
        <v>30</v>
      </c>
      <c r="E108" s="72" t="s">
        <v>31</v>
      </c>
    </row>
    <row r="109" spans="1:7" s="72" customFormat="1" ht="18" customHeight="1" x14ac:dyDescent="0.25">
      <c r="A109" s="41" t="s">
        <v>50</v>
      </c>
      <c r="B109" s="84">
        <f>584+18.6</f>
        <v>602.6</v>
      </c>
      <c r="C109" s="83" t="s">
        <v>99</v>
      </c>
      <c r="D109" s="72" t="s">
        <v>33</v>
      </c>
      <c r="E109" s="72" t="s">
        <v>34</v>
      </c>
    </row>
    <row r="110" spans="1:7" s="72" customFormat="1" ht="18" customHeight="1" x14ac:dyDescent="0.25">
      <c r="A110" s="41">
        <v>42312</v>
      </c>
      <c r="B110" s="84">
        <f>28.75</f>
        <v>28.75</v>
      </c>
      <c r="C110" s="83" t="s">
        <v>99</v>
      </c>
      <c r="D110" s="72" t="s">
        <v>54</v>
      </c>
      <c r="E110" s="72" t="s">
        <v>29</v>
      </c>
    </row>
    <row r="111" spans="1:7" s="72" customFormat="1" ht="18" customHeight="1" x14ac:dyDescent="0.25">
      <c r="A111" s="41">
        <v>42312</v>
      </c>
      <c r="B111" s="84">
        <f>13.39</f>
        <v>13.39</v>
      </c>
      <c r="C111" s="83" t="s">
        <v>91</v>
      </c>
      <c r="D111" s="72" t="s">
        <v>30</v>
      </c>
      <c r="E111" s="72" t="s">
        <v>29</v>
      </c>
    </row>
    <row r="112" spans="1:7" s="72" customFormat="1" ht="18" customHeight="1" x14ac:dyDescent="0.25">
      <c r="A112" s="41">
        <v>42312</v>
      </c>
      <c r="B112" s="84">
        <f>32</f>
        <v>32</v>
      </c>
      <c r="C112" s="83" t="s">
        <v>64</v>
      </c>
      <c r="D112" s="72" t="s">
        <v>63</v>
      </c>
      <c r="E112" s="72" t="s">
        <v>29</v>
      </c>
    </row>
    <row r="113" spans="1:5" s="72" customFormat="1" ht="18" customHeight="1" x14ac:dyDescent="0.25">
      <c r="A113" s="41">
        <v>42313</v>
      </c>
      <c r="B113" s="84">
        <f>39.31</f>
        <v>39.31</v>
      </c>
      <c r="C113" s="83" t="s">
        <v>100</v>
      </c>
      <c r="D113" s="72" t="s">
        <v>30</v>
      </c>
      <c r="E113" s="72" t="s">
        <v>31</v>
      </c>
    </row>
    <row r="114" spans="1:5" s="72" customFormat="1" ht="18" customHeight="1" x14ac:dyDescent="0.25">
      <c r="A114" s="41">
        <v>42313</v>
      </c>
      <c r="B114" s="84">
        <f>18.47</f>
        <v>18.47</v>
      </c>
      <c r="C114" s="83" t="s">
        <v>102</v>
      </c>
      <c r="D114" s="72" t="s">
        <v>30</v>
      </c>
      <c r="E114" s="72" t="s">
        <v>31</v>
      </c>
    </row>
    <row r="115" spans="1:5" s="72" customFormat="1" ht="18" customHeight="1" x14ac:dyDescent="0.25">
      <c r="A115" s="41" t="s">
        <v>65</v>
      </c>
      <c r="B115" s="84">
        <f>33</f>
        <v>33</v>
      </c>
      <c r="C115" s="83" t="s">
        <v>101</v>
      </c>
      <c r="D115" s="72" t="s">
        <v>38</v>
      </c>
      <c r="E115" s="72" t="s">
        <v>29</v>
      </c>
    </row>
    <row r="116" spans="1:5" s="72" customFormat="1" ht="18" customHeight="1" x14ac:dyDescent="0.25">
      <c r="A116" s="41">
        <v>42314</v>
      </c>
      <c r="B116" s="84">
        <f>14.58</f>
        <v>14.58</v>
      </c>
      <c r="C116" s="83" t="s">
        <v>101</v>
      </c>
      <c r="D116" s="72" t="s">
        <v>30</v>
      </c>
      <c r="E116" s="72" t="s">
        <v>31</v>
      </c>
    </row>
    <row r="117" spans="1:5" s="72" customFormat="1" ht="18" customHeight="1" x14ac:dyDescent="0.25">
      <c r="A117" s="41" t="s">
        <v>49</v>
      </c>
      <c r="B117" s="84">
        <f>496+18.6</f>
        <v>514.6</v>
      </c>
      <c r="C117" s="83" t="s">
        <v>101</v>
      </c>
      <c r="D117" s="72" t="s">
        <v>33</v>
      </c>
      <c r="E117" s="72" t="s">
        <v>34</v>
      </c>
    </row>
    <row r="118" spans="1:5" s="72" customFormat="1" ht="18" customHeight="1" x14ac:dyDescent="0.25">
      <c r="A118" s="41" t="s">
        <v>55</v>
      </c>
      <c r="B118" s="84">
        <f>85</f>
        <v>85</v>
      </c>
      <c r="C118" s="83" t="s">
        <v>101</v>
      </c>
      <c r="D118" s="72" t="s">
        <v>38</v>
      </c>
      <c r="E118" s="72" t="s">
        <v>29</v>
      </c>
    </row>
    <row r="119" spans="1:5" s="72" customFormat="1" ht="18" customHeight="1" x14ac:dyDescent="0.25">
      <c r="A119" s="41">
        <v>42319</v>
      </c>
      <c r="B119" s="84">
        <f>18.04</f>
        <v>18.04</v>
      </c>
      <c r="C119" s="83" t="s">
        <v>103</v>
      </c>
      <c r="D119" s="72" t="s">
        <v>30</v>
      </c>
      <c r="E119" s="72" t="s">
        <v>31</v>
      </c>
    </row>
    <row r="120" spans="1:5" s="72" customFormat="1" ht="18" customHeight="1" x14ac:dyDescent="0.25">
      <c r="A120" s="41">
        <v>42320</v>
      </c>
      <c r="B120" s="84">
        <f>13.5</f>
        <v>13.5</v>
      </c>
      <c r="C120" s="83" t="s">
        <v>104</v>
      </c>
      <c r="D120" s="72" t="s">
        <v>30</v>
      </c>
      <c r="E120" s="72" t="s">
        <v>31</v>
      </c>
    </row>
    <row r="121" spans="1:5" s="72" customFormat="1" ht="18" customHeight="1" x14ac:dyDescent="0.25">
      <c r="A121" s="41">
        <v>42327</v>
      </c>
      <c r="B121" s="84">
        <f>100.01</f>
        <v>100.01</v>
      </c>
      <c r="C121" s="83" t="s">
        <v>85</v>
      </c>
      <c r="D121" s="72" t="s">
        <v>30</v>
      </c>
      <c r="E121" s="72" t="s">
        <v>29</v>
      </c>
    </row>
    <row r="122" spans="1:5" s="72" customFormat="1" ht="18" customHeight="1" x14ac:dyDescent="0.25">
      <c r="A122" s="41">
        <v>42328</v>
      </c>
      <c r="B122" s="84">
        <f>23.54</f>
        <v>23.54</v>
      </c>
      <c r="C122" s="83" t="s">
        <v>85</v>
      </c>
      <c r="D122" s="72" t="s">
        <v>30</v>
      </c>
      <c r="E122" s="72" t="s">
        <v>29</v>
      </c>
    </row>
    <row r="123" spans="1:5" s="72" customFormat="1" ht="18" customHeight="1" x14ac:dyDescent="0.25">
      <c r="A123" s="41">
        <v>42328</v>
      </c>
      <c r="B123" s="84">
        <f>7</f>
        <v>7</v>
      </c>
      <c r="C123" s="83" t="s">
        <v>105</v>
      </c>
      <c r="D123" s="72" t="s">
        <v>39</v>
      </c>
      <c r="E123" s="72" t="s">
        <v>29</v>
      </c>
    </row>
    <row r="124" spans="1:5" s="72" customFormat="1" ht="18" customHeight="1" x14ac:dyDescent="0.25">
      <c r="A124" s="41">
        <v>42331</v>
      </c>
      <c r="B124" s="84">
        <f>41.9</f>
        <v>41.9</v>
      </c>
      <c r="C124" s="83" t="s">
        <v>85</v>
      </c>
      <c r="D124" s="72" t="s">
        <v>30</v>
      </c>
      <c r="E124" s="72" t="s">
        <v>31</v>
      </c>
    </row>
    <row r="125" spans="1:5" s="72" customFormat="1" ht="18" customHeight="1" x14ac:dyDescent="0.25">
      <c r="A125" s="41">
        <v>42331</v>
      </c>
      <c r="B125" s="84">
        <f>23</f>
        <v>23</v>
      </c>
      <c r="C125" s="83" t="s">
        <v>106</v>
      </c>
      <c r="D125" s="72" t="s">
        <v>30</v>
      </c>
      <c r="E125" s="72" t="s">
        <v>31</v>
      </c>
    </row>
    <row r="126" spans="1:5" s="72" customFormat="1" ht="18" customHeight="1" x14ac:dyDescent="0.25">
      <c r="A126" s="41" t="s">
        <v>66</v>
      </c>
      <c r="B126" s="84">
        <f>85</f>
        <v>85</v>
      </c>
      <c r="C126" s="83" t="s">
        <v>67</v>
      </c>
      <c r="D126" s="72" t="s">
        <v>38</v>
      </c>
      <c r="E126" s="72" t="s">
        <v>29</v>
      </c>
    </row>
    <row r="127" spans="1:5" s="72" customFormat="1" ht="18" customHeight="1" x14ac:dyDescent="0.25">
      <c r="A127" s="41">
        <v>42333</v>
      </c>
      <c r="B127" s="84">
        <f>10.58</f>
        <v>10.58</v>
      </c>
      <c r="C127" s="83" t="s">
        <v>107</v>
      </c>
      <c r="D127" s="72" t="s">
        <v>30</v>
      </c>
      <c r="E127" s="72" t="s">
        <v>31</v>
      </c>
    </row>
    <row r="128" spans="1:5" s="72" customFormat="1" ht="18" customHeight="1" x14ac:dyDescent="0.25">
      <c r="A128" s="41">
        <v>42334</v>
      </c>
      <c r="B128" s="84">
        <v>292</v>
      </c>
      <c r="C128" s="83" t="s">
        <v>180</v>
      </c>
      <c r="D128" s="72" t="s">
        <v>33</v>
      </c>
      <c r="E128" s="72" t="s">
        <v>47</v>
      </c>
    </row>
    <row r="129" spans="1:7" s="72" customFormat="1" ht="18" customHeight="1" x14ac:dyDescent="0.25">
      <c r="A129" s="41">
        <v>42338</v>
      </c>
      <c r="B129" s="84">
        <f>31.54</f>
        <v>31.54</v>
      </c>
      <c r="C129" s="83" t="s">
        <v>180</v>
      </c>
      <c r="D129" s="72" t="s">
        <v>30</v>
      </c>
      <c r="E129" s="72" t="s">
        <v>31</v>
      </c>
    </row>
    <row r="130" spans="1:7" s="72" customFormat="1" ht="18" customHeight="1" x14ac:dyDescent="0.25">
      <c r="A130" s="41">
        <v>42338</v>
      </c>
      <c r="B130" s="84">
        <f>22.9</f>
        <v>22.9</v>
      </c>
      <c r="C130" s="83" t="s">
        <v>181</v>
      </c>
      <c r="D130" s="72" t="s">
        <v>30</v>
      </c>
      <c r="E130" s="72" t="s">
        <v>29</v>
      </c>
    </row>
    <row r="131" spans="1:7" s="72" customFormat="1" ht="18" customHeight="1" x14ac:dyDescent="0.25">
      <c r="A131" s="41">
        <v>42338</v>
      </c>
      <c r="B131" s="84">
        <f>18.36</f>
        <v>18.36</v>
      </c>
      <c r="C131" s="83" t="s">
        <v>166</v>
      </c>
      <c r="D131" s="72" t="s">
        <v>30</v>
      </c>
      <c r="E131" s="72" t="s">
        <v>29</v>
      </c>
    </row>
    <row r="132" spans="1:7" s="72" customFormat="1" ht="18" customHeight="1" x14ac:dyDescent="0.25">
      <c r="A132" s="41">
        <v>42339</v>
      </c>
      <c r="B132" s="84">
        <f>23.33</f>
        <v>23.33</v>
      </c>
      <c r="C132" s="83" t="s">
        <v>92</v>
      </c>
      <c r="D132" s="72" t="s">
        <v>30</v>
      </c>
      <c r="E132" s="72" t="s">
        <v>29</v>
      </c>
    </row>
    <row r="133" spans="1:7" s="72" customFormat="1" ht="18" customHeight="1" x14ac:dyDescent="0.25">
      <c r="A133" s="41">
        <v>42339</v>
      </c>
      <c r="B133" s="84">
        <f>22.03</f>
        <v>22.03</v>
      </c>
      <c r="C133" s="83" t="s">
        <v>92</v>
      </c>
      <c r="D133" s="72" t="s">
        <v>30</v>
      </c>
      <c r="E133" s="72" t="s">
        <v>29</v>
      </c>
    </row>
    <row r="134" spans="1:7" s="72" customFormat="1" ht="18" customHeight="1" x14ac:dyDescent="0.25">
      <c r="A134" s="41">
        <v>42339</v>
      </c>
      <c r="B134" s="84">
        <f>30</f>
        <v>30</v>
      </c>
      <c r="C134" s="83" t="s">
        <v>68</v>
      </c>
      <c r="D134" s="72" t="s">
        <v>40</v>
      </c>
      <c r="E134" s="72" t="s">
        <v>29</v>
      </c>
    </row>
    <row r="135" spans="1:7" s="72" customFormat="1" ht="18" customHeight="1" x14ac:dyDescent="0.25">
      <c r="A135" s="41">
        <v>42340</v>
      </c>
      <c r="B135" s="91">
        <f>325+46.5</f>
        <v>371.5</v>
      </c>
      <c r="C135" s="83" t="s">
        <v>108</v>
      </c>
      <c r="D135" s="72" t="s">
        <v>33</v>
      </c>
      <c r="E135" s="72" t="s">
        <v>36</v>
      </c>
    </row>
    <row r="136" spans="1:7" s="72" customFormat="1" ht="18" customHeight="1" x14ac:dyDescent="0.25">
      <c r="A136" s="41">
        <v>42340</v>
      </c>
      <c r="B136" s="84">
        <f>45.68</f>
        <v>45.68</v>
      </c>
      <c r="C136" s="83" t="s">
        <v>108</v>
      </c>
      <c r="D136" s="72" t="s">
        <v>30</v>
      </c>
      <c r="E136" s="72" t="s">
        <v>31</v>
      </c>
    </row>
    <row r="137" spans="1:7" s="72" customFormat="1" ht="18" customHeight="1" x14ac:dyDescent="0.25">
      <c r="A137" s="41" t="s">
        <v>74</v>
      </c>
      <c r="B137" s="84">
        <f>44</f>
        <v>44</v>
      </c>
      <c r="C137" s="83" t="s">
        <v>108</v>
      </c>
      <c r="D137" s="72" t="s">
        <v>38</v>
      </c>
      <c r="E137" s="72" t="s">
        <v>29</v>
      </c>
    </row>
    <row r="138" spans="1:7" s="72" customFormat="1" ht="18" customHeight="1" x14ac:dyDescent="0.25">
      <c r="A138" s="41">
        <v>42346</v>
      </c>
      <c r="B138" s="84">
        <f>9.9</f>
        <v>9.9</v>
      </c>
      <c r="C138" s="83" t="s">
        <v>109</v>
      </c>
      <c r="D138" s="72" t="s">
        <v>30</v>
      </c>
      <c r="E138" s="72" t="s">
        <v>31</v>
      </c>
      <c r="G138" s="72" t="s">
        <v>163</v>
      </c>
    </row>
    <row r="139" spans="1:7" s="72" customFormat="1" ht="18" customHeight="1" x14ac:dyDescent="0.25">
      <c r="A139" s="41">
        <v>42347</v>
      </c>
      <c r="B139" s="84">
        <f>24.41</f>
        <v>24.41</v>
      </c>
      <c r="C139" s="83" t="s">
        <v>147</v>
      </c>
      <c r="D139" s="72" t="s">
        <v>30</v>
      </c>
      <c r="E139" s="72" t="s">
        <v>31</v>
      </c>
    </row>
    <row r="140" spans="1:7" s="72" customFormat="1" ht="18" customHeight="1" x14ac:dyDescent="0.25">
      <c r="A140" s="41">
        <v>42347</v>
      </c>
      <c r="B140" s="84">
        <f>34.34</f>
        <v>34.340000000000003</v>
      </c>
      <c r="C140" s="83" t="s">
        <v>111</v>
      </c>
      <c r="D140" s="72" t="s">
        <v>30</v>
      </c>
      <c r="E140" s="72" t="s">
        <v>31</v>
      </c>
    </row>
    <row r="141" spans="1:7" s="72" customFormat="1" ht="18" customHeight="1" x14ac:dyDescent="0.25">
      <c r="A141" s="41">
        <v>42348</v>
      </c>
      <c r="B141" s="84">
        <f>25.92</f>
        <v>25.92</v>
      </c>
      <c r="C141" s="83" t="s">
        <v>110</v>
      </c>
      <c r="D141" s="72" t="s">
        <v>30</v>
      </c>
      <c r="E141" s="72" t="s">
        <v>31</v>
      </c>
    </row>
    <row r="142" spans="1:7" s="72" customFormat="1" ht="18" customHeight="1" x14ac:dyDescent="0.25">
      <c r="A142" s="41">
        <v>42348</v>
      </c>
      <c r="B142" s="84">
        <f>325+46.5</f>
        <v>371.5</v>
      </c>
      <c r="C142" s="83" t="s">
        <v>148</v>
      </c>
      <c r="D142" s="72" t="s">
        <v>33</v>
      </c>
      <c r="E142" s="72" t="s">
        <v>47</v>
      </c>
    </row>
    <row r="143" spans="1:7" s="72" customFormat="1" ht="18" customHeight="1" x14ac:dyDescent="0.25">
      <c r="A143" s="41">
        <v>42351</v>
      </c>
      <c r="B143" s="84">
        <f>232+46.5+93</f>
        <v>371.5</v>
      </c>
      <c r="C143" s="83" t="s">
        <v>112</v>
      </c>
      <c r="D143" s="72" t="s">
        <v>33</v>
      </c>
      <c r="E143" s="72" t="s">
        <v>36</v>
      </c>
    </row>
    <row r="144" spans="1:7" s="72" customFormat="1" ht="18" customHeight="1" x14ac:dyDescent="0.25">
      <c r="A144" s="41">
        <v>42352</v>
      </c>
      <c r="B144" s="84">
        <f>38.12</f>
        <v>38.119999999999997</v>
      </c>
      <c r="C144" s="83" t="s">
        <v>171</v>
      </c>
      <c r="D144" s="72" t="s">
        <v>30</v>
      </c>
      <c r="E144" s="72" t="s">
        <v>31</v>
      </c>
      <c r="G144" s="72" t="s">
        <v>163</v>
      </c>
    </row>
    <row r="145" spans="1:7" s="72" customFormat="1" ht="18" customHeight="1" x14ac:dyDescent="0.25">
      <c r="A145" s="41">
        <v>42352</v>
      </c>
      <c r="B145" s="84">
        <f>145+9.7</f>
        <v>154.69999999999999</v>
      </c>
      <c r="C145" s="83" t="s">
        <v>171</v>
      </c>
      <c r="D145" s="72" t="s">
        <v>33</v>
      </c>
      <c r="E145" s="72" t="s">
        <v>47</v>
      </c>
    </row>
    <row r="146" spans="1:7" s="72" customFormat="1" ht="18" customHeight="1" x14ac:dyDescent="0.25">
      <c r="A146" s="41">
        <v>42352</v>
      </c>
      <c r="B146" s="84">
        <f>44.6</f>
        <v>44.6</v>
      </c>
      <c r="C146" s="83" t="s">
        <v>171</v>
      </c>
      <c r="D146" s="72" t="s">
        <v>30</v>
      </c>
      <c r="E146" s="72" t="s">
        <v>31</v>
      </c>
    </row>
    <row r="147" spans="1:7" s="72" customFormat="1" ht="18" customHeight="1" x14ac:dyDescent="0.25">
      <c r="A147" s="41">
        <v>42354</v>
      </c>
      <c r="B147" s="84">
        <f>69.98</f>
        <v>69.98</v>
      </c>
      <c r="C147" s="83" t="s">
        <v>171</v>
      </c>
      <c r="D147" s="72" t="s">
        <v>30</v>
      </c>
      <c r="E147" s="72" t="s">
        <v>29</v>
      </c>
    </row>
    <row r="148" spans="1:7" s="72" customFormat="1" ht="18" customHeight="1" x14ac:dyDescent="0.25">
      <c r="A148" s="41">
        <v>42354</v>
      </c>
      <c r="B148" s="84">
        <f>106+48.5</f>
        <v>154.5</v>
      </c>
      <c r="C148" s="83" t="s">
        <v>171</v>
      </c>
      <c r="D148" s="72" t="s">
        <v>33</v>
      </c>
      <c r="E148" s="72" t="s">
        <v>36</v>
      </c>
    </row>
    <row r="149" spans="1:7" s="72" customFormat="1" ht="18" customHeight="1" x14ac:dyDescent="0.25">
      <c r="A149" s="41">
        <v>42354</v>
      </c>
      <c r="B149" s="84">
        <f>37.37</f>
        <v>37.369999999999997</v>
      </c>
      <c r="C149" s="83" t="s">
        <v>171</v>
      </c>
      <c r="D149" s="72" t="s">
        <v>30</v>
      </c>
      <c r="E149" s="72" t="s">
        <v>31</v>
      </c>
    </row>
    <row r="150" spans="1:7" s="72" customFormat="1" ht="18" customHeight="1" x14ac:dyDescent="0.25">
      <c r="A150" s="41">
        <v>42396</v>
      </c>
      <c r="B150" s="84">
        <f>46.22</f>
        <v>46.22</v>
      </c>
      <c r="C150" s="83" t="s">
        <v>172</v>
      </c>
      <c r="D150" s="72" t="s">
        <v>30</v>
      </c>
      <c r="E150" s="72" t="s">
        <v>84</v>
      </c>
    </row>
    <row r="151" spans="1:7" s="72" customFormat="1" ht="18" customHeight="1" x14ac:dyDescent="0.25">
      <c r="A151" s="41">
        <v>42396</v>
      </c>
      <c r="B151" s="84">
        <f>325+9.3</f>
        <v>334.3</v>
      </c>
      <c r="C151" s="83" t="s">
        <v>172</v>
      </c>
      <c r="D151" s="72" t="s">
        <v>33</v>
      </c>
      <c r="E151" s="72" t="s">
        <v>47</v>
      </c>
    </row>
    <row r="152" spans="1:7" s="72" customFormat="1" ht="18" customHeight="1" x14ac:dyDescent="0.25">
      <c r="A152" s="41">
        <v>42397</v>
      </c>
      <c r="B152" s="84">
        <f>30</f>
        <v>30</v>
      </c>
      <c r="C152" s="83" t="s">
        <v>172</v>
      </c>
      <c r="D152" s="72" t="s">
        <v>32</v>
      </c>
      <c r="E152" s="72" t="s">
        <v>29</v>
      </c>
    </row>
    <row r="153" spans="1:7" s="72" customFormat="1" ht="18" customHeight="1" x14ac:dyDescent="0.25">
      <c r="A153" s="41">
        <v>42397</v>
      </c>
      <c r="B153" s="84">
        <f>36.29</f>
        <v>36.29</v>
      </c>
      <c r="C153" s="83" t="s">
        <v>172</v>
      </c>
      <c r="D153" s="72" t="s">
        <v>30</v>
      </c>
      <c r="E153" s="72" t="s">
        <v>31</v>
      </c>
      <c r="G153" s="72" t="s">
        <v>163</v>
      </c>
    </row>
    <row r="154" spans="1:7" s="72" customFormat="1" ht="18" customHeight="1" x14ac:dyDescent="0.25">
      <c r="A154" s="41" t="s">
        <v>69</v>
      </c>
      <c r="B154" s="84">
        <f>95</f>
        <v>95</v>
      </c>
      <c r="C154" s="83" t="s">
        <v>173</v>
      </c>
      <c r="D154" s="72" t="s">
        <v>38</v>
      </c>
      <c r="E154" s="72" t="s">
        <v>29</v>
      </c>
    </row>
    <row r="155" spans="1:7" s="72" customFormat="1" ht="18" customHeight="1" x14ac:dyDescent="0.25">
      <c r="A155" s="41">
        <v>42402</v>
      </c>
      <c r="B155" s="84">
        <f>39.96</f>
        <v>39.96</v>
      </c>
      <c r="C155" s="83" t="s">
        <v>173</v>
      </c>
      <c r="D155" s="72" t="s">
        <v>30</v>
      </c>
      <c r="E155" s="72" t="s">
        <v>73</v>
      </c>
    </row>
    <row r="156" spans="1:7" s="72" customFormat="1" ht="18" customHeight="1" x14ac:dyDescent="0.25">
      <c r="A156" s="41">
        <v>42402</v>
      </c>
      <c r="B156" s="84">
        <f>204+46.5</f>
        <v>250.5</v>
      </c>
      <c r="C156" s="83" t="s">
        <v>173</v>
      </c>
      <c r="D156" s="72" t="s">
        <v>33</v>
      </c>
      <c r="E156" s="72" t="s">
        <v>73</v>
      </c>
    </row>
    <row r="157" spans="1:7" s="72" customFormat="1" ht="18" customHeight="1" x14ac:dyDescent="0.25">
      <c r="A157" s="41">
        <v>42402</v>
      </c>
      <c r="B157" s="84">
        <f>100</f>
        <v>100</v>
      </c>
      <c r="C157" s="83" t="s">
        <v>173</v>
      </c>
      <c r="D157" s="72" t="s">
        <v>71</v>
      </c>
      <c r="E157" s="72" t="s">
        <v>70</v>
      </c>
    </row>
    <row r="158" spans="1:7" s="72" customFormat="1" ht="18" customHeight="1" x14ac:dyDescent="0.25">
      <c r="A158" s="41">
        <v>42404</v>
      </c>
      <c r="B158" s="84">
        <f>35</f>
        <v>35</v>
      </c>
      <c r="C158" s="83" t="s">
        <v>173</v>
      </c>
      <c r="D158" s="72" t="s">
        <v>72</v>
      </c>
      <c r="E158" s="72" t="s">
        <v>73</v>
      </c>
    </row>
    <row r="159" spans="1:7" s="72" customFormat="1" ht="18" customHeight="1" x14ac:dyDescent="0.25">
      <c r="A159" s="41">
        <v>42408</v>
      </c>
      <c r="B159" s="84">
        <f>232+46.5</f>
        <v>278.5</v>
      </c>
      <c r="C159" s="83" t="s">
        <v>173</v>
      </c>
      <c r="D159" s="72" t="s">
        <v>33</v>
      </c>
      <c r="E159" s="72" t="s">
        <v>36</v>
      </c>
    </row>
    <row r="160" spans="1:7" s="72" customFormat="1" ht="18" customHeight="1" x14ac:dyDescent="0.25">
      <c r="A160" s="41">
        <v>42410</v>
      </c>
      <c r="B160" s="84">
        <f>37.04</f>
        <v>37.04</v>
      </c>
      <c r="C160" s="83" t="s">
        <v>173</v>
      </c>
      <c r="D160" s="72" t="s">
        <v>30</v>
      </c>
      <c r="E160" s="72" t="s">
        <v>31</v>
      </c>
    </row>
    <row r="161" spans="1:7" s="72" customFormat="1" ht="18" customHeight="1" x14ac:dyDescent="0.25">
      <c r="A161" s="41">
        <v>42410</v>
      </c>
      <c r="B161" s="84">
        <f>232+9.3</f>
        <v>241.3</v>
      </c>
      <c r="C161" s="83" t="s">
        <v>182</v>
      </c>
      <c r="D161" s="72" t="s">
        <v>33</v>
      </c>
      <c r="E161" s="72" t="s">
        <v>47</v>
      </c>
    </row>
    <row r="162" spans="1:7" s="72" customFormat="1" ht="18" customHeight="1" x14ac:dyDescent="0.25">
      <c r="A162" s="41">
        <v>42410</v>
      </c>
      <c r="B162" s="84">
        <f>12.6</f>
        <v>12.6</v>
      </c>
      <c r="C162" s="83" t="s">
        <v>149</v>
      </c>
      <c r="D162" s="72" t="s">
        <v>32</v>
      </c>
      <c r="E162" s="72" t="s">
        <v>29</v>
      </c>
    </row>
    <row r="163" spans="1:7" s="72" customFormat="1" ht="18" customHeight="1" x14ac:dyDescent="0.25">
      <c r="A163" s="41">
        <v>42410</v>
      </c>
      <c r="B163" s="84">
        <f>24.5</f>
        <v>24.5</v>
      </c>
      <c r="C163" s="83" t="s">
        <v>149</v>
      </c>
      <c r="D163" s="72" t="s">
        <v>63</v>
      </c>
      <c r="E163" s="72" t="s">
        <v>29</v>
      </c>
    </row>
    <row r="164" spans="1:7" s="72" customFormat="1" ht="18" customHeight="1" x14ac:dyDescent="0.25">
      <c r="A164" s="41">
        <v>42411</v>
      </c>
      <c r="B164" s="84">
        <f>15</f>
        <v>15</v>
      </c>
      <c r="C164" s="83" t="s">
        <v>149</v>
      </c>
      <c r="D164" s="72" t="s">
        <v>72</v>
      </c>
      <c r="E164" s="72" t="s">
        <v>29</v>
      </c>
    </row>
    <row r="165" spans="1:7" s="72" customFormat="1" ht="18" customHeight="1" x14ac:dyDescent="0.25">
      <c r="A165" s="41">
        <v>42411</v>
      </c>
      <c r="B165" s="84">
        <f>259+46.5</f>
        <v>305.5</v>
      </c>
      <c r="C165" s="83" t="s">
        <v>149</v>
      </c>
      <c r="D165" s="72" t="s">
        <v>33</v>
      </c>
      <c r="E165" s="72" t="s">
        <v>36</v>
      </c>
      <c r="G165" s="72" t="s">
        <v>163</v>
      </c>
    </row>
    <row r="166" spans="1:7" s="72" customFormat="1" ht="18" customHeight="1" x14ac:dyDescent="0.25">
      <c r="A166" s="41">
        <v>42417</v>
      </c>
      <c r="B166" s="84">
        <f>10.37</f>
        <v>10.37</v>
      </c>
      <c r="C166" s="83" t="s">
        <v>149</v>
      </c>
      <c r="D166" s="72" t="s">
        <v>30</v>
      </c>
      <c r="E166" s="72" t="s">
        <v>31</v>
      </c>
    </row>
    <row r="167" spans="1:7" s="72" customFormat="1" ht="18" customHeight="1" x14ac:dyDescent="0.25">
      <c r="A167" s="41">
        <v>42418</v>
      </c>
      <c r="B167" s="74">
        <f>470+95+19</f>
        <v>584</v>
      </c>
      <c r="C167" s="83" t="s">
        <v>149</v>
      </c>
      <c r="D167" s="43"/>
      <c r="E167" s="43"/>
      <c r="F167" s="43"/>
      <c r="G167" s="43"/>
    </row>
    <row r="168" spans="1:7" s="72" customFormat="1" ht="18" customHeight="1" x14ac:dyDescent="0.25">
      <c r="A168" s="41">
        <v>42419</v>
      </c>
      <c r="B168" s="84">
        <f>42.01</f>
        <v>42.01</v>
      </c>
      <c r="C168" s="83" t="s">
        <v>149</v>
      </c>
      <c r="D168" s="72" t="s">
        <v>30</v>
      </c>
      <c r="E168" s="72" t="s">
        <v>29</v>
      </c>
    </row>
    <row r="169" spans="1:7" s="72" customFormat="1" ht="18" customHeight="1" x14ac:dyDescent="0.25">
      <c r="A169" s="41">
        <v>42422</v>
      </c>
      <c r="B169" s="84">
        <f>4.5</f>
        <v>4.5</v>
      </c>
      <c r="C169" s="83" t="s">
        <v>149</v>
      </c>
      <c r="D169" s="72" t="s">
        <v>39</v>
      </c>
      <c r="E169" s="72" t="s">
        <v>29</v>
      </c>
    </row>
    <row r="170" spans="1:7" s="72" customFormat="1" ht="18" customHeight="1" x14ac:dyDescent="0.25">
      <c r="A170" s="41">
        <v>42422</v>
      </c>
      <c r="B170" s="84">
        <f>8.5</f>
        <v>8.5</v>
      </c>
      <c r="C170" s="83" t="s">
        <v>149</v>
      </c>
      <c r="D170" s="72" t="s">
        <v>39</v>
      </c>
      <c r="E170" s="72" t="s">
        <v>29</v>
      </c>
    </row>
    <row r="171" spans="1:7" s="72" customFormat="1" ht="18" customHeight="1" x14ac:dyDescent="0.25">
      <c r="A171" s="41">
        <v>42422</v>
      </c>
      <c r="B171" s="84">
        <f>17.71</f>
        <v>17.71</v>
      </c>
      <c r="C171" s="83" t="s">
        <v>149</v>
      </c>
      <c r="D171" s="72" t="s">
        <v>30</v>
      </c>
      <c r="E171" s="72" t="s">
        <v>29</v>
      </c>
    </row>
    <row r="172" spans="1:7" s="72" customFormat="1" ht="18" customHeight="1" x14ac:dyDescent="0.25">
      <c r="A172" s="41">
        <v>42422</v>
      </c>
      <c r="B172" s="84">
        <f>11.66</f>
        <v>11.66</v>
      </c>
      <c r="C172" s="83" t="s">
        <v>149</v>
      </c>
      <c r="D172" s="72" t="s">
        <v>30</v>
      </c>
      <c r="E172" s="72" t="s">
        <v>29</v>
      </c>
    </row>
    <row r="173" spans="1:7" s="72" customFormat="1" ht="18" customHeight="1" x14ac:dyDescent="0.25">
      <c r="A173" s="41">
        <v>42423</v>
      </c>
      <c r="B173" s="84">
        <f>81</f>
        <v>81</v>
      </c>
      <c r="C173" s="83" t="s">
        <v>149</v>
      </c>
      <c r="D173" s="72" t="s">
        <v>30</v>
      </c>
      <c r="E173" s="72" t="s">
        <v>29</v>
      </c>
    </row>
    <row r="174" spans="1:7" s="72" customFormat="1" ht="18" customHeight="1" x14ac:dyDescent="0.25">
      <c r="A174" s="41">
        <v>42423</v>
      </c>
      <c r="B174" s="84">
        <f>55.67</f>
        <v>55.67</v>
      </c>
      <c r="C174" s="83" t="s">
        <v>114</v>
      </c>
      <c r="D174" s="72" t="s">
        <v>30</v>
      </c>
      <c r="E174" s="72" t="s">
        <v>31</v>
      </c>
    </row>
    <row r="175" spans="1:7" s="72" customFormat="1" ht="18" customHeight="1" x14ac:dyDescent="0.25">
      <c r="A175" s="41">
        <v>42425</v>
      </c>
      <c r="B175" s="84">
        <f>18.04</f>
        <v>18.04</v>
      </c>
      <c r="C175" s="83" t="s">
        <v>167</v>
      </c>
      <c r="D175" s="72" t="s">
        <v>30</v>
      </c>
      <c r="E175" s="72" t="s">
        <v>31</v>
      </c>
    </row>
    <row r="176" spans="1:7" s="72" customFormat="1" ht="18" customHeight="1" x14ac:dyDescent="0.25">
      <c r="A176" s="41">
        <v>42430</v>
      </c>
      <c r="B176" s="84">
        <f>14.26</f>
        <v>14.26</v>
      </c>
      <c r="C176" s="83" t="s">
        <v>167</v>
      </c>
      <c r="D176" s="72" t="s">
        <v>30</v>
      </c>
      <c r="E176" s="72" t="s">
        <v>31</v>
      </c>
    </row>
    <row r="177" spans="1:7" s="72" customFormat="1" ht="18" customHeight="1" x14ac:dyDescent="0.25">
      <c r="A177" s="41">
        <v>42431</v>
      </c>
      <c r="B177" s="84">
        <f>6.8</f>
        <v>6.8</v>
      </c>
      <c r="C177" s="83" t="s">
        <v>183</v>
      </c>
      <c r="D177" s="72" t="s">
        <v>30</v>
      </c>
      <c r="E177" s="72" t="s">
        <v>31</v>
      </c>
    </row>
    <row r="178" spans="1:7" s="72" customFormat="1" ht="18" customHeight="1" x14ac:dyDescent="0.25">
      <c r="A178" s="41">
        <v>42431</v>
      </c>
      <c r="B178" s="84">
        <v>8.64</v>
      </c>
      <c r="C178" s="83" t="s">
        <v>184</v>
      </c>
      <c r="D178" s="72" t="s">
        <v>30</v>
      </c>
      <c r="E178" s="72" t="s">
        <v>31</v>
      </c>
      <c r="G178" s="72" t="s">
        <v>163</v>
      </c>
    </row>
    <row r="179" spans="1:7" s="72" customFormat="1" ht="18" customHeight="1" x14ac:dyDescent="0.25">
      <c r="A179" s="41">
        <v>42443</v>
      </c>
      <c r="B179" s="84">
        <f>15</f>
        <v>15</v>
      </c>
      <c r="C179" s="83" t="s">
        <v>150</v>
      </c>
      <c r="D179" s="72" t="s">
        <v>32</v>
      </c>
      <c r="E179" s="72" t="s">
        <v>29</v>
      </c>
    </row>
    <row r="180" spans="1:7" s="72" customFormat="1" ht="18" customHeight="1" x14ac:dyDescent="0.25">
      <c r="A180" s="41">
        <v>42444</v>
      </c>
      <c r="B180" s="84">
        <f>219</f>
        <v>219</v>
      </c>
      <c r="C180" s="83" t="s">
        <v>150</v>
      </c>
      <c r="D180" s="72" t="s">
        <v>33</v>
      </c>
      <c r="E180" s="72" t="s">
        <v>36</v>
      </c>
      <c r="G180" s="72" t="s">
        <v>163</v>
      </c>
    </row>
    <row r="181" spans="1:7" s="72" customFormat="1" ht="18" customHeight="1" x14ac:dyDescent="0.25">
      <c r="A181" s="41">
        <v>42444</v>
      </c>
      <c r="B181" s="84">
        <f>41.9</f>
        <v>41.9</v>
      </c>
      <c r="C181" s="83" t="s">
        <v>150</v>
      </c>
      <c r="D181" s="72" t="s">
        <v>30</v>
      </c>
      <c r="E181" s="72" t="s">
        <v>31</v>
      </c>
    </row>
    <row r="182" spans="1:7" s="72" customFormat="1" ht="18" customHeight="1" x14ac:dyDescent="0.25">
      <c r="A182" s="41" t="s">
        <v>75</v>
      </c>
      <c r="B182" s="84">
        <f>140</f>
        <v>140</v>
      </c>
      <c r="C182" s="83" t="s">
        <v>150</v>
      </c>
      <c r="D182" s="72" t="s">
        <v>76</v>
      </c>
      <c r="E182" s="72" t="s">
        <v>29</v>
      </c>
    </row>
    <row r="183" spans="1:7" s="83" customFormat="1" ht="18" customHeight="1" x14ac:dyDescent="0.25">
      <c r="A183" s="85">
        <v>42446</v>
      </c>
      <c r="B183" s="84">
        <f>318</f>
        <v>318</v>
      </c>
      <c r="C183" s="83" t="s">
        <v>150</v>
      </c>
      <c r="D183" s="83" t="s">
        <v>33</v>
      </c>
      <c r="E183" s="83" t="s">
        <v>47</v>
      </c>
    </row>
    <row r="184" spans="1:7" s="83" customFormat="1" ht="18" customHeight="1" x14ac:dyDescent="0.25">
      <c r="A184" s="85">
        <v>42447</v>
      </c>
      <c r="B184" s="84">
        <f>60</f>
        <v>60</v>
      </c>
      <c r="C184" s="83" t="s">
        <v>150</v>
      </c>
      <c r="D184" s="83" t="s">
        <v>33</v>
      </c>
      <c r="E184" s="83" t="s">
        <v>47</v>
      </c>
    </row>
    <row r="185" spans="1:7" s="72" customFormat="1" ht="18" customHeight="1" x14ac:dyDescent="0.25">
      <c r="A185" s="41">
        <v>42447</v>
      </c>
      <c r="B185" s="84">
        <f>33.91</f>
        <v>33.909999999999997</v>
      </c>
      <c r="C185" s="83" t="s">
        <v>150</v>
      </c>
      <c r="D185" s="72" t="s">
        <v>30</v>
      </c>
      <c r="E185" s="72" t="s">
        <v>31</v>
      </c>
    </row>
    <row r="186" spans="1:7" s="72" customFormat="1" ht="18" customHeight="1" x14ac:dyDescent="0.25">
      <c r="A186" s="41" t="s">
        <v>77</v>
      </c>
      <c r="B186" s="84">
        <f>95</f>
        <v>95</v>
      </c>
      <c r="C186" s="83" t="s">
        <v>150</v>
      </c>
      <c r="D186" s="72" t="s">
        <v>76</v>
      </c>
      <c r="E186" s="72" t="s">
        <v>29</v>
      </c>
    </row>
    <row r="187" spans="1:7" s="72" customFormat="1" ht="18" customHeight="1" x14ac:dyDescent="0.25">
      <c r="A187" s="41">
        <v>42460</v>
      </c>
      <c r="B187" s="84">
        <f>33.91</f>
        <v>33.909999999999997</v>
      </c>
      <c r="C187" s="83" t="s">
        <v>151</v>
      </c>
      <c r="D187" s="72" t="s">
        <v>30</v>
      </c>
      <c r="E187" s="72" t="s">
        <v>31</v>
      </c>
    </row>
    <row r="188" spans="1:7" s="72" customFormat="1" ht="18" customHeight="1" x14ac:dyDescent="0.25">
      <c r="A188" s="41">
        <v>42460</v>
      </c>
      <c r="B188" s="84">
        <f>128</f>
        <v>128</v>
      </c>
      <c r="C188" s="83" t="s">
        <v>151</v>
      </c>
      <c r="D188" s="72" t="s">
        <v>33</v>
      </c>
      <c r="E188" s="72" t="s">
        <v>47</v>
      </c>
    </row>
    <row r="189" spans="1:7" s="72" customFormat="1" ht="18" customHeight="1" x14ac:dyDescent="0.25">
      <c r="A189" s="41">
        <v>42461</v>
      </c>
      <c r="B189" s="84">
        <f>164+48.5</f>
        <v>212.5</v>
      </c>
      <c r="C189" s="83" t="s">
        <v>152</v>
      </c>
      <c r="D189" s="72" t="s">
        <v>33</v>
      </c>
      <c r="E189" s="72" t="s">
        <v>47</v>
      </c>
    </row>
    <row r="190" spans="1:7" s="72" customFormat="1" ht="18" customHeight="1" x14ac:dyDescent="0.25">
      <c r="A190" s="41">
        <v>42461</v>
      </c>
      <c r="B190" s="84">
        <f>259+46.5</f>
        <v>305.5</v>
      </c>
      <c r="C190" s="83" t="s">
        <v>152</v>
      </c>
      <c r="D190" s="72" t="s">
        <v>33</v>
      </c>
      <c r="E190" s="72" t="s">
        <v>36</v>
      </c>
    </row>
    <row r="191" spans="1:7" s="72" customFormat="1" ht="18" customHeight="1" x14ac:dyDescent="0.25">
      <c r="A191" s="41">
        <v>42461</v>
      </c>
      <c r="B191" s="84">
        <f>53.46</f>
        <v>53.46</v>
      </c>
      <c r="C191" s="83" t="s">
        <v>152</v>
      </c>
      <c r="D191" s="72" t="s">
        <v>30</v>
      </c>
      <c r="E191" s="72" t="s">
        <v>31</v>
      </c>
    </row>
    <row r="192" spans="1:7" s="72" customFormat="1" ht="18" customHeight="1" x14ac:dyDescent="0.25">
      <c r="A192" s="41" t="s">
        <v>78</v>
      </c>
      <c r="B192" s="84">
        <f>65</f>
        <v>65</v>
      </c>
      <c r="C192" s="83" t="s">
        <v>152</v>
      </c>
      <c r="D192" s="72" t="s">
        <v>76</v>
      </c>
      <c r="E192" s="72" t="s">
        <v>29</v>
      </c>
    </row>
    <row r="193" spans="1:7" s="72" customFormat="1" ht="18" customHeight="1" x14ac:dyDescent="0.25">
      <c r="A193" s="41">
        <v>42467</v>
      </c>
      <c r="B193" s="84">
        <f>19.8</f>
        <v>19.8</v>
      </c>
      <c r="C193" s="83" t="s">
        <v>153</v>
      </c>
      <c r="D193" s="72" t="s">
        <v>39</v>
      </c>
      <c r="E193" s="72" t="s">
        <v>31</v>
      </c>
    </row>
    <row r="194" spans="1:7" s="72" customFormat="1" ht="18" customHeight="1" x14ac:dyDescent="0.25">
      <c r="A194" s="41">
        <v>42468</v>
      </c>
      <c r="B194" s="84">
        <f>204+46.5</f>
        <v>250.5</v>
      </c>
      <c r="C194" s="83" t="s">
        <v>115</v>
      </c>
      <c r="D194" s="72" t="s">
        <v>33</v>
      </c>
      <c r="E194" s="72" t="s">
        <v>47</v>
      </c>
      <c r="G194" s="72" t="s">
        <v>163</v>
      </c>
    </row>
    <row r="195" spans="1:7" s="72" customFormat="1" ht="18" customHeight="1" x14ac:dyDescent="0.25">
      <c r="A195" s="41">
        <v>42471</v>
      </c>
      <c r="B195" s="84">
        <f>37.15</f>
        <v>37.15</v>
      </c>
      <c r="C195" s="83" t="s">
        <v>115</v>
      </c>
      <c r="D195" s="72" t="s">
        <v>30</v>
      </c>
      <c r="E195" s="72" t="s">
        <v>31</v>
      </c>
    </row>
    <row r="196" spans="1:7" s="72" customFormat="1" ht="18" customHeight="1" x14ac:dyDescent="0.25">
      <c r="A196" s="41">
        <v>42473</v>
      </c>
      <c r="B196" s="84">
        <f>11.12</f>
        <v>11.12</v>
      </c>
      <c r="C196" s="83" t="s">
        <v>115</v>
      </c>
      <c r="D196" s="72" t="s">
        <v>30</v>
      </c>
      <c r="E196" s="72" t="s">
        <v>31</v>
      </c>
    </row>
    <row r="197" spans="1:7" s="72" customFormat="1" ht="18" customHeight="1" x14ac:dyDescent="0.25">
      <c r="A197" s="41">
        <v>42473</v>
      </c>
      <c r="B197" s="84">
        <f>8.86</f>
        <v>8.86</v>
      </c>
      <c r="C197" s="83" t="s">
        <v>115</v>
      </c>
      <c r="D197" s="72" t="s">
        <v>30</v>
      </c>
      <c r="E197" s="72" t="s">
        <v>31</v>
      </c>
    </row>
    <row r="198" spans="1:7" s="72" customFormat="1" ht="18" customHeight="1" x14ac:dyDescent="0.25">
      <c r="A198" s="41">
        <v>42474</v>
      </c>
      <c r="B198" s="84">
        <f>39.1</f>
        <v>39.1</v>
      </c>
      <c r="C198" s="83" t="s">
        <v>115</v>
      </c>
      <c r="D198" s="72" t="s">
        <v>30</v>
      </c>
      <c r="E198" s="72" t="s">
        <v>31</v>
      </c>
    </row>
    <row r="199" spans="1:7" s="72" customFormat="1" ht="18" customHeight="1" x14ac:dyDescent="0.25">
      <c r="A199" s="41">
        <v>42474</v>
      </c>
      <c r="B199" s="84">
        <f>222+46.5</f>
        <v>268.5</v>
      </c>
      <c r="C199" s="83" t="s">
        <v>115</v>
      </c>
      <c r="D199" s="72" t="s">
        <v>33</v>
      </c>
      <c r="E199" s="72" t="s">
        <v>51</v>
      </c>
    </row>
    <row r="200" spans="1:7" s="72" customFormat="1" ht="18" customHeight="1" x14ac:dyDescent="0.25">
      <c r="A200" s="41">
        <v>42474</v>
      </c>
      <c r="B200" s="84">
        <f>55.19</f>
        <v>55.19</v>
      </c>
      <c r="C200" s="83" t="s">
        <v>154</v>
      </c>
      <c r="D200" s="72" t="s">
        <v>30</v>
      </c>
      <c r="E200" s="72" t="s">
        <v>42</v>
      </c>
    </row>
    <row r="201" spans="1:7" s="72" customFormat="1" ht="18" customHeight="1" x14ac:dyDescent="0.25">
      <c r="A201" s="41">
        <v>42474</v>
      </c>
      <c r="B201" s="84">
        <f>194+46.5</f>
        <v>240.5</v>
      </c>
      <c r="C201" s="83" t="s">
        <v>155</v>
      </c>
      <c r="D201" s="72" t="s">
        <v>33</v>
      </c>
      <c r="E201" s="72" t="s">
        <v>52</v>
      </c>
    </row>
    <row r="202" spans="1:7" s="72" customFormat="1" ht="18" customHeight="1" x14ac:dyDescent="0.25">
      <c r="A202" s="41">
        <v>42474</v>
      </c>
      <c r="B202" s="84">
        <f>43.52</f>
        <v>43.52</v>
      </c>
      <c r="C202" s="83" t="s">
        <v>156</v>
      </c>
      <c r="D202" s="72" t="s">
        <v>30</v>
      </c>
      <c r="E202" s="72" t="s">
        <v>31</v>
      </c>
    </row>
    <row r="203" spans="1:7" s="72" customFormat="1" ht="18" customHeight="1" x14ac:dyDescent="0.25">
      <c r="A203" s="41">
        <v>42479</v>
      </c>
      <c r="B203" s="84">
        <f>9.5</f>
        <v>9.5</v>
      </c>
      <c r="C203" s="83" t="s">
        <v>156</v>
      </c>
      <c r="D203" s="72" t="s">
        <v>30</v>
      </c>
      <c r="E203" s="72" t="s">
        <v>31</v>
      </c>
    </row>
    <row r="204" spans="1:7" s="72" customFormat="1" ht="18" customHeight="1" x14ac:dyDescent="0.25">
      <c r="A204" s="41">
        <v>42479</v>
      </c>
      <c r="B204" s="84">
        <f>52.49</f>
        <v>52.49</v>
      </c>
      <c r="C204" s="83" t="s">
        <v>150</v>
      </c>
      <c r="D204" s="72" t="s">
        <v>30</v>
      </c>
      <c r="E204" s="72" t="s">
        <v>31</v>
      </c>
    </row>
    <row r="205" spans="1:7" s="72" customFormat="1" ht="18" customHeight="1" x14ac:dyDescent="0.25">
      <c r="A205" s="41">
        <v>42479</v>
      </c>
      <c r="B205" s="84">
        <f>491+93</f>
        <v>584</v>
      </c>
      <c r="C205" s="83" t="s">
        <v>150</v>
      </c>
      <c r="D205" s="72" t="s">
        <v>33</v>
      </c>
      <c r="E205" s="72" t="s">
        <v>34</v>
      </c>
    </row>
    <row r="206" spans="1:7" s="72" customFormat="1" ht="18" customHeight="1" x14ac:dyDescent="0.25">
      <c r="A206" s="41" t="s">
        <v>79</v>
      </c>
      <c r="B206" s="84">
        <f>95</f>
        <v>95</v>
      </c>
      <c r="C206" s="83" t="s">
        <v>174</v>
      </c>
      <c r="D206" s="72" t="s">
        <v>76</v>
      </c>
      <c r="E206" s="72" t="s">
        <v>29</v>
      </c>
    </row>
    <row r="207" spans="1:7" s="72" customFormat="1" ht="18" customHeight="1" x14ac:dyDescent="0.25">
      <c r="A207" s="41">
        <v>42480</v>
      </c>
      <c r="B207" s="84">
        <f>44.5</f>
        <v>44.5</v>
      </c>
      <c r="C207" s="83" t="s">
        <v>174</v>
      </c>
      <c r="D207" s="72" t="s">
        <v>30</v>
      </c>
      <c r="E207" s="72" t="s">
        <v>31</v>
      </c>
    </row>
    <row r="208" spans="1:7" s="72" customFormat="1" ht="18" customHeight="1" x14ac:dyDescent="0.25">
      <c r="A208" s="41">
        <v>42481</v>
      </c>
      <c r="B208" s="84">
        <f>40.61</f>
        <v>40.61</v>
      </c>
      <c r="C208" s="83" t="s">
        <v>174</v>
      </c>
      <c r="D208" s="72" t="s">
        <v>30</v>
      </c>
      <c r="E208" s="72" t="s">
        <v>31</v>
      </c>
    </row>
    <row r="209" spans="1:5" s="72" customFormat="1" ht="18" customHeight="1" x14ac:dyDescent="0.25">
      <c r="A209" s="41">
        <v>42481</v>
      </c>
      <c r="B209" s="84">
        <f>325+46.5</f>
        <v>371.5</v>
      </c>
      <c r="C209" s="83" t="s">
        <v>157</v>
      </c>
      <c r="D209" s="72" t="s">
        <v>33</v>
      </c>
      <c r="E209" s="72" t="s">
        <v>47</v>
      </c>
    </row>
    <row r="210" spans="1:5" s="72" customFormat="1" ht="18" customHeight="1" x14ac:dyDescent="0.25">
      <c r="A210" s="41">
        <v>42482</v>
      </c>
      <c r="B210" s="84">
        <f>33</f>
        <v>33</v>
      </c>
      <c r="C210" s="83" t="s">
        <v>157</v>
      </c>
      <c r="D210" s="72" t="s">
        <v>30</v>
      </c>
      <c r="E210" s="72" t="s">
        <v>29</v>
      </c>
    </row>
    <row r="211" spans="1:5" s="72" customFormat="1" ht="18" customHeight="1" x14ac:dyDescent="0.25">
      <c r="A211" s="41">
        <v>42488</v>
      </c>
      <c r="B211" s="84">
        <f>15.98</f>
        <v>15.98</v>
      </c>
      <c r="C211" s="83" t="s">
        <v>116</v>
      </c>
      <c r="D211" s="72" t="s">
        <v>30</v>
      </c>
      <c r="E211" s="72" t="s">
        <v>31</v>
      </c>
    </row>
    <row r="212" spans="1:5" s="72" customFormat="1" ht="18" customHeight="1" x14ac:dyDescent="0.25">
      <c r="A212" s="41">
        <v>42495</v>
      </c>
      <c r="B212" s="84">
        <f>12.64</f>
        <v>12.64</v>
      </c>
      <c r="C212" s="83" t="s">
        <v>117</v>
      </c>
      <c r="D212" s="72" t="s">
        <v>30</v>
      </c>
      <c r="E212" s="72" t="s">
        <v>31</v>
      </c>
    </row>
    <row r="213" spans="1:5" s="72" customFormat="1" ht="18" customHeight="1" x14ac:dyDescent="0.25">
      <c r="A213" s="41">
        <v>42495</v>
      </c>
      <c r="B213" s="84">
        <f>14.04</f>
        <v>14.04</v>
      </c>
      <c r="C213" s="83" t="s">
        <v>117</v>
      </c>
      <c r="D213" s="72" t="s">
        <v>30</v>
      </c>
      <c r="E213" s="72" t="s">
        <v>31</v>
      </c>
    </row>
    <row r="214" spans="1:5" s="72" customFormat="1" ht="18" customHeight="1" x14ac:dyDescent="0.25">
      <c r="A214" s="41">
        <v>42499</v>
      </c>
      <c r="B214" s="84">
        <f>37.91</f>
        <v>37.909999999999997</v>
      </c>
      <c r="C214" s="83" t="s">
        <v>118</v>
      </c>
      <c r="D214" s="72" t="s">
        <v>30</v>
      </c>
      <c r="E214" s="72" t="s">
        <v>31</v>
      </c>
    </row>
    <row r="215" spans="1:5" s="72" customFormat="1" ht="18" customHeight="1" x14ac:dyDescent="0.25">
      <c r="A215" s="41">
        <v>42499</v>
      </c>
      <c r="B215" s="84">
        <f>204+46.5</f>
        <v>250.5</v>
      </c>
      <c r="C215" s="83" t="s">
        <v>118</v>
      </c>
      <c r="D215" s="72" t="s">
        <v>33</v>
      </c>
      <c r="E215" s="72" t="s">
        <v>47</v>
      </c>
    </row>
    <row r="216" spans="1:5" s="72" customFormat="1" ht="18" customHeight="1" x14ac:dyDescent="0.25">
      <c r="A216" s="41">
        <v>42500</v>
      </c>
      <c r="B216" s="84">
        <f>176+46.5</f>
        <v>222.5</v>
      </c>
      <c r="C216" s="83" t="s">
        <v>118</v>
      </c>
      <c r="D216" s="72" t="s">
        <v>33</v>
      </c>
      <c r="E216" s="72" t="s">
        <v>36</v>
      </c>
    </row>
    <row r="217" spans="1:5" s="72" customFormat="1" ht="18" customHeight="1" x14ac:dyDescent="0.25">
      <c r="A217" s="41">
        <v>42500</v>
      </c>
      <c r="B217" s="84">
        <f>9</f>
        <v>9</v>
      </c>
      <c r="C217" s="83" t="s">
        <v>118</v>
      </c>
      <c r="D217" s="72" t="s">
        <v>80</v>
      </c>
      <c r="E217" s="72" t="s">
        <v>31</v>
      </c>
    </row>
    <row r="218" spans="1:5" s="72" customFormat="1" ht="18" customHeight="1" x14ac:dyDescent="0.25">
      <c r="A218" s="41">
        <v>42508</v>
      </c>
      <c r="B218" s="84">
        <f>32.18</f>
        <v>32.18</v>
      </c>
      <c r="C218" s="83" t="s">
        <v>118</v>
      </c>
      <c r="D218" s="72" t="s">
        <v>30</v>
      </c>
      <c r="E218" s="72" t="s">
        <v>31</v>
      </c>
    </row>
    <row r="219" spans="1:5" s="72" customFormat="1" ht="18" customHeight="1" x14ac:dyDescent="0.25">
      <c r="A219" s="41">
        <v>42508</v>
      </c>
      <c r="B219" s="84">
        <f>232+46.5</f>
        <v>278.5</v>
      </c>
      <c r="C219" s="83" t="s">
        <v>150</v>
      </c>
      <c r="D219" s="72" t="s">
        <v>33</v>
      </c>
      <c r="E219" s="72" t="s">
        <v>47</v>
      </c>
    </row>
    <row r="220" spans="1:5" s="72" customFormat="1" ht="18" customHeight="1" x14ac:dyDescent="0.25">
      <c r="A220" s="41">
        <v>42516</v>
      </c>
      <c r="B220" s="84">
        <f>325+46.5</f>
        <v>371.5</v>
      </c>
      <c r="C220" s="83" t="s">
        <v>150</v>
      </c>
      <c r="D220" s="72" t="s">
        <v>33</v>
      </c>
      <c r="E220" s="72" t="s">
        <v>47</v>
      </c>
    </row>
    <row r="221" spans="1:5" s="72" customFormat="1" ht="18" customHeight="1" x14ac:dyDescent="0.25">
      <c r="A221" s="41">
        <v>42517</v>
      </c>
      <c r="B221" s="84">
        <f>47.41</f>
        <v>47.41</v>
      </c>
      <c r="C221" s="83" t="s">
        <v>113</v>
      </c>
      <c r="D221" s="72" t="s">
        <v>30</v>
      </c>
      <c r="E221" s="72" t="s">
        <v>31</v>
      </c>
    </row>
    <row r="222" spans="1:5" s="72" customFormat="1" ht="18" customHeight="1" x14ac:dyDescent="0.25">
      <c r="A222" s="41">
        <v>42534</v>
      </c>
      <c r="B222" s="84">
        <f>24.84</f>
        <v>24.84</v>
      </c>
      <c r="C222" s="83" t="s">
        <v>119</v>
      </c>
      <c r="D222" s="72" t="s">
        <v>30</v>
      </c>
      <c r="E222" s="72" t="s">
        <v>29</v>
      </c>
    </row>
    <row r="223" spans="1:5" s="72" customFormat="1" ht="18" customHeight="1" x14ac:dyDescent="0.25">
      <c r="A223" s="41">
        <v>42534</v>
      </c>
      <c r="B223" s="84">
        <f>24.19</f>
        <v>24.19</v>
      </c>
      <c r="C223" s="83" t="s">
        <v>119</v>
      </c>
      <c r="D223" s="72" t="s">
        <v>30</v>
      </c>
      <c r="E223" s="72" t="s">
        <v>29</v>
      </c>
    </row>
    <row r="224" spans="1:5" s="72" customFormat="1" ht="18" customHeight="1" x14ac:dyDescent="0.25">
      <c r="A224" s="41">
        <v>42542</v>
      </c>
      <c r="B224" s="84">
        <v>34.450000000000003</v>
      </c>
      <c r="C224" s="83" t="s">
        <v>158</v>
      </c>
      <c r="D224" s="72" t="s">
        <v>30</v>
      </c>
      <c r="E224" s="72" t="s">
        <v>31</v>
      </c>
    </row>
    <row r="225" spans="1:28" s="72" customFormat="1" ht="18" customHeight="1" x14ac:dyDescent="0.25">
      <c r="A225" s="41">
        <v>42542</v>
      </c>
      <c r="B225" s="84">
        <f>67+9.7</f>
        <v>76.7</v>
      </c>
      <c r="C225" s="83" t="s">
        <v>158</v>
      </c>
      <c r="D225" s="72" t="s">
        <v>160</v>
      </c>
      <c r="E225" s="72" t="s">
        <v>47</v>
      </c>
    </row>
    <row r="226" spans="1:28" s="72" customFormat="1" ht="18" customHeight="1" x14ac:dyDescent="0.25">
      <c r="A226" s="41">
        <v>42542</v>
      </c>
      <c r="B226" s="84">
        <f>60</f>
        <v>60</v>
      </c>
      <c r="C226" s="83" t="s">
        <v>158</v>
      </c>
      <c r="D226" s="72" t="s">
        <v>32</v>
      </c>
      <c r="E226" s="72" t="s">
        <v>29</v>
      </c>
    </row>
    <row r="227" spans="1:28" s="72" customFormat="1" ht="18" customHeight="1" x14ac:dyDescent="0.25">
      <c r="A227" s="41">
        <v>42542</v>
      </c>
      <c r="B227" s="84">
        <f>25.8</f>
        <v>25.8</v>
      </c>
      <c r="C227" s="83" t="s">
        <v>158</v>
      </c>
      <c r="D227" s="72" t="s">
        <v>30</v>
      </c>
      <c r="E227" s="72" t="s">
        <v>29</v>
      </c>
    </row>
    <row r="228" spans="1:28" s="72" customFormat="1" ht="18" customHeight="1" x14ac:dyDescent="0.25">
      <c r="A228" s="41">
        <v>42543</v>
      </c>
      <c r="B228" s="84">
        <f>9</f>
        <v>9</v>
      </c>
      <c r="C228" s="83" t="s">
        <v>158</v>
      </c>
      <c r="D228" s="72" t="s">
        <v>80</v>
      </c>
      <c r="E228" s="72" t="s">
        <v>31</v>
      </c>
    </row>
    <row r="229" spans="1:28" s="72" customFormat="1" ht="18" customHeight="1" x14ac:dyDescent="0.25">
      <c r="A229" s="41">
        <v>42542</v>
      </c>
      <c r="B229" s="84">
        <f>232+46.5</f>
        <v>278.5</v>
      </c>
      <c r="C229" s="83" t="s">
        <v>135</v>
      </c>
      <c r="D229" s="72" t="s">
        <v>159</v>
      </c>
    </row>
    <row r="230" spans="1:28" s="66" customFormat="1" ht="18" customHeight="1" x14ac:dyDescent="0.25">
      <c r="A230" s="67"/>
      <c r="B230" s="65"/>
      <c r="C230" s="97"/>
    </row>
    <row r="231" spans="1:28" s="43" customFormat="1" ht="18" customHeight="1" x14ac:dyDescent="0.25">
      <c r="A231" s="60"/>
      <c r="B231" s="74"/>
      <c r="C231" s="83"/>
    </row>
    <row r="232" spans="1:28" s="31" customFormat="1" ht="18" customHeight="1" x14ac:dyDescent="0.25">
      <c r="A232" s="40" t="s">
        <v>26</v>
      </c>
      <c r="B232" s="65">
        <f>SUM(B35:B231)</f>
        <v>19318.870000000003</v>
      </c>
      <c r="C232" s="97"/>
    </row>
    <row r="233" spans="1:28" s="31" customFormat="1" ht="18" customHeight="1" x14ac:dyDescent="0.25">
      <c r="A233" s="35"/>
      <c r="B233" s="65"/>
      <c r="C233" s="97"/>
    </row>
    <row r="234" spans="1:28" s="6" customFormat="1" ht="33" customHeight="1" x14ac:dyDescent="0.3">
      <c r="A234" s="110" t="s">
        <v>37</v>
      </c>
      <c r="B234" s="110"/>
      <c r="C234" s="110"/>
    </row>
    <row r="235" spans="1:28" ht="18" customHeight="1" x14ac:dyDescent="0.3">
      <c r="A235" s="78" t="s">
        <v>2</v>
      </c>
      <c r="B235" s="95">
        <f>B23+B232+B31</f>
        <v>21646.280000000002</v>
      </c>
      <c r="C235" s="102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7"/>
    </row>
  </sheetData>
  <mergeCells count="8">
    <mergeCell ref="A234:C234"/>
    <mergeCell ref="B25:C25"/>
    <mergeCell ref="B33:C33"/>
    <mergeCell ref="A1:E1"/>
    <mergeCell ref="A2:B2"/>
    <mergeCell ref="C2:D2"/>
    <mergeCell ref="B3:C3"/>
    <mergeCell ref="B7:C7"/>
  </mergeCells>
  <printOptions gridLines="1"/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>
      <selection sqref="A1:E1"/>
    </sheetView>
  </sheetViews>
  <sheetFormatPr defaultRowHeight="12.5" x14ac:dyDescent="0.25"/>
  <cols>
    <col min="1" max="1" width="23.81640625" style="2" customWidth="1"/>
    <col min="2" max="2" width="23.1796875" style="19" customWidth="1"/>
    <col min="3" max="3" width="57.7265625" style="2" customWidth="1"/>
    <col min="4" max="4" width="27.1796875" style="2" customWidth="1"/>
    <col min="5" max="5" width="28.1796875" style="2" customWidth="1"/>
    <col min="6" max="6" width="18.81640625" customWidth="1"/>
    <col min="7" max="7" width="18.453125" customWidth="1"/>
  </cols>
  <sheetData>
    <row r="1" spans="1:7" s="1" customFormat="1" ht="36" customHeight="1" x14ac:dyDescent="0.35">
      <c r="A1" s="118" t="str">
        <f>+Travel!A1</f>
        <v xml:space="preserve">Name of organisation: Ministry for Pacific Peoples </v>
      </c>
      <c r="B1" s="119"/>
      <c r="C1" s="119"/>
      <c r="D1" s="119"/>
      <c r="E1" s="119"/>
    </row>
    <row r="2" spans="1:7" s="10" customFormat="1" ht="35.25" customHeight="1" x14ac:dyDescent="0.35">
      <c r="A2" s="118" t="str">
        <f>+Travel!A2</f>
        <v>Name of CE: Pauline A Winter</v>
      </c>
      <c r="B2" s="119"/>
      <c r="C2" s="118" t="str">
        <f>+Travel!C2</f>
        <v>For period 01/07/2015 - 30/06/2016</v>
      </c>
      <c r="D2" s="119"/>
    </row>
    <row r="3" spans="1:7" s="5" customFormat="1" ht="35.25" customHeight="1" x14ac:dyDescent="0.35">
      <c r="A3" s="5" t="s">
        <v>10</v>
      </c>
      <c r="B3" s="120" t="s">
        <v>4</v>
      </c>
      <c r="C3" s="120"/>
    </row>
    <row r="4" spans="1:7" s="7" customFormat="1" ht="25.5" customHeight="1" x14ac:dyDescent="0.3">
      <c r="A4" s="7" t="s">
        <v>0</v>
      </c>
      <c r="B4" s="21" t="s">
        <v>2</v>
      </c>
      <c r="C4" s="7" t="s">
        <v>11</v>
      </c>
      <c r="D4" s="7" t="s">
        <v>12</v>
      </c>
      <c r="E4" s="7" t="s">
        <v>1</v>
      </c>
    </row>
    <row r="5" spans="1:7" s="64" customFormat="1" ht="13.15" customHeight="1" x14ac:dyDescent="0.3">
      <c r="A5" s="35" t="s">
        <v>136</v>
      </c>
      <c r="B5" s="62"/>
    </row>
    <row r="6" spans="1:7" s="45" customFormat="1" x14ac:dyDescent="0.25">
      <c r="A6" s="57"/>
      <c r="B6" s="58"/>
      <c r="C6" s="44"/>
      <c r="D6" s="44"/>
      <c r="E6" s="44"/>
      <c r="F6" s="44"/>
      <c r="G6" s="44"/>
    </row>
    <row r="7" spans="1:7" s="38" customFormat="1" ht="13" x14ac:dyDescent="0.3">
      <c r="A7" s="37"/>
      <c r="B7" s="33"/>
      <c r="C7" s="34"/>
      <c r="D7" s="34"/>
      <c r="E7" s="34"/>
      <c r="F7" s="34"/>
    </row>
    <row r="8" spans="1:7" s="45" customFormat="1" x14ac:dyDescent="0.25">
      <c r="A8" s="57"/>
      <c r="B8" s="58"/>
      <c r="C8" s="44"/>
      <c r="D8" s="44"/>
      <c r="E8" s="44"/>
      <c r="F8" s="44"/>
    </row>
    <row r="9" spans="1:7" s="45" customFormat="1" x14ac:dyDescent="0.25">
      <c r="A9" s="57"/>
      <c r="B9" s="58"/>
      <c r="C9" s="44"/>
      <c r="D9" s="44"/>
      <c r="E9" s="44"/>
      <c r="F9" s="44"/>
    </row>
    <row r="10" spans="1:7" s="45" customFormat="1" x14ac:dyDescent="0.25">
      <c r="A10" s="57"/>
      <c r="B10" s="58"/>
      <c r="C10" s="44"/>
      <c r="D10" s="44"/>
      <c r="E10" s="44"/>
      <c r="F10" s="44"/>
    </row>
    <row r="11" spans="1:7" s="43" customFormat="1" ht="13" x14ac:dyDescent="0.25">
      <c r="A11" s="41"/>
      <c r="B11" s="42"/>
      <c r="G11" s="31"/>
    </row>
    <row r="12" spans="1:7" s="43" customFormat="1" ht="19.5" customHeight="1" x14ac:dyDescent="0.25">
      <c r="A12" s="41"/>
      <c r="B12" s="42"/>
      <c r="D12" s="44"/>
      <c r="F12" s="44"/>
    </row>
    <row r="13" spans="1:7" s="38" customFormat="1" ht="13" x14ac:dyDescent="0.3">
      <c r="A13" s="39"/>
      <c r="B13" s="33"/>
      <c r="C13" s="34"/>
      <c r="D13" s="34"/>
      <c r="E13" s="34"/>
    </row>
    <row r="14" spans="1:7" s="38" customFormat="1" ht="13" x14ac:dyDescent="0.3">
      <c r="A14" s="39"/>
      <c r="B14" s="33"/>
      <c r="C14" s="34"/>
      <c r="D14" s="34"/>
      <c r="E14" s="34"/>
    </row>
    <row r="15" spans="1:7" s="45" customFormat="1" x14ac:dyDescent="0.25">
      <c r="A15" s="59" t="s">
        <v>26</v>
      </c>
      <c r="B15" s="58">
        <f>SUM(B7:B14)</f>
        <v>0</v>
      </c>
      <c r="C15" s="44"/>
      <c r="D15" s="44"/>
      <c r="E15" s="44"/>
    </row>
    <row r="17" spans="1:7" ht="11.25" customHeight="1" x14ac:dyDescent="0.25"/>
    <row r="18" spans="1:7" hidden="1" x14ac:dyDescent="0.25"/>
    <row r="19" spans="1:7" s="11" customFormat="1" ht="25.5" customHeight="1" x14ac:dyDescent="0.35">
      <c r="A19" s="4" t="s">
        <v>10</v>
      </c>
      <c r="B19" s="116" t="s">
        <v>7</v>
      </c>
      <c r="C19" s="116"/>
      <c r="D19" s="4"/>
      <c r="E19" s="4"/>
    </row>
    <row r="20" spans="1:7" ht="22.5" customHeight="1" x14ac:dyDescent="0.3">
      <c r="A20" s="7" t="s">
        <v>0</v>
      </c>
      <c r="B20" s="21" t="s">
        <v>2</v>
      </c>
      <c r="C20" s="7"/>
      <c r="D20" s="7"/>
      <c r="E20" s="7"/>
    </row>
    <row r="21" spans="1:7" s="45" customFormat="1" ht="13.15" customHeight="1" x14ac:dyDescent="0.25">
      <c r="A21" s="35" t="s">
        <v>136</v>
      </c>
      <c r="B21" s="73"/>
      <c r="C21" s="71"/>
      <c r="D21" s="71"/>
      <c r="E21" s="71"/>
    </row>
    <row r="22" spans="1:7" s="43" customFormat="1" ht="12.75" customHeight="1" x14ac:dyDescent="0.25">
      <c r="A22" s="41"/>
      <c r="B22" s="42"/>
      <c r="D22" s="44"/>
      <c r="F22" s="44"/>
    </row>
    <row r="23" spans="1:7" s="31" customFormat="1" ht="12.75" customHeight="1" x14ac:dyDescent="0.3">
      <c r="A23" s="35"/>
      <c r="B23" s="36"/>
      <c r="D23" s="34"/>
      <c r="F23" s="34"/>
    </row>
    <row r="24" spans="1:7" s="31" customFormat="1" ht="12.75" customHeight="1" x14ac:dyDescent="0.3">
      <c r="A24" s="35"/>
      <c r="B24" s="36"/>
      <c r="D24" s="34"/>
    </row>
    <row r="25" spans="1:7" s="38" customFormat="1" ht="13" x14ac:dyDescent="0.3">
      <c r="A25" s="37"/>
      <c r="B25" s="33"/>
      <c r="C25" s="34"/>
      <c r="D25" s="34"/>
      <c r="E25" s="34"/>
      <c r="F25" s="34"/>
      <c r="G25" s="34"/>
    </row>
    <row r="26" spans="1:7" s="38" customFormat="1" ht="13" x14ac:dyDescent="0.3">
      <c r="A26" s="39"/>
      <c r="B26" s="33"/>
      <c r="C26" s="34"/>
      <c r="D26" s="34"/>
      <c r="E26" s="34"/>
    </row>
    <row r="27" spans="1:7" s="38" customFormat="1" ht="13" x14ac:dyDescent="0.3">
      <c r="A27" s="39"/>
      <c r="B27" s="33"/>
      <c r="C27" s="34"/>
      <c r="D27" s="34"/>
      <c r="E27" s="34"/>
    </row>
    <row r="28" spans="1:7" s="38" customFormat="1" ht="13" x14ac:dyDescent="0.3">
      <c r="A28" s="39"/>
      <c r="B28" s="33"/>
      <c r="C28" s="34"/>
      <c r="D28" s="34"/>
      <c r="E28" s="34"/>
    </row>
    <row r="29" spans="1:7" s="45" customFormat="1" x14ac:dyDescent="0.25">
      <c r="A29" s="59" t="s">
        <v>26</v>
      </c>
      <c r="B29" s="58">
        <f>SUM(B21:B28)</f>
        <v>0</v>
      </c>
      <c r="C29" s="44"/>
      <c r="D29" s="44"/>
      <c r="E29" s="44"/>
    </row>
    <row r="30" spans="1:7" s="38" customFormat="1" ht="13" x14ac:dyDescent="0.3">
      <c r="A30" s="39"/>
      <c r="B30" s="33"/>
      <c r="C30" s="34"/>
      <c r="D30" s="34"/>
      <c r="E30" s="34"/>
    </row>
    <row r="31" spans="1:7" x14ac:dyDescent="0.25">
      <c r="A31" s="18"/>
    </row>
    <row r="33" spans="1:3" s="6" customFormat="1" ht="48" customHeight="1" x14ac:dyDescent="0.3">
      <c r="A33" s="12" t="s">
        <v>45</v>
      </c>
      <c r="B33" s="20">
        <f>+B29+B15</f>
        <v>0</v>
      </c>
      <c r="C33" s="8"/>
    </row>
  </sheetData>
  <mergeCells count="5">
    <mergeCell ref="A1:E1"/>
    <mergeCell ref="A2:B2"/>
    <mergeCell ref="C2:D2"/>
    <mergeCell ref="B3:C3"/>
    <mergeCell ref="B19:C19"/>
  </mergeCells>
  <pageMargins left="0.7" right="0.7" top="0.75" bottom="0.75" header="0.3" footer="0.3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>
      <selection activeCell="A5" sqref="A5"/>
    </sheetView>
  </sheetViews>
  <sheetFormatPr defaultRowHeight="12.5" x14ac:dyDescent="0.25"/>
  <cols>
    <col min="1" max="1" width="23.81640625" style="2" customWidth="1"/>
    <col min="2" max="2" width="23.1796875" style="19" customWidth="1"/>
    <col min="3" max="3" width="69.81640625" style="2" bestFit="1" customWidth="1"/>
    <col min="4" max="4" width="27.1796875" style="2" customWidth="1"/>
    <col min="5" max="5" width="28.1796875" style="2" customWidth="1"/>
    <col min="6" max="6" width="19" customWidth="1"/>
  </cols>
  <sheetData>
    <row r="1" spans="1:6" ht="39.75" customHeight="1" x14ac:dyDescent="0.4">
      <c r="A1" s="112" t="str">
        <f>+Travel!A1</f>
        <v xml:space="preserve">Name of organisation: Ministry for Pacific Peoples </v>
      </c>
      <c r="B1" s="113"/>
      <c r="C1" s="113"/>
      <c r="D1" s="113"/>
      <c r="E1" s="113"/>
    </row>
    <row r="2" spans="1:6" ht="29.25" customHeight="1" x14ac:dyDescent="0.35">
      <c r="A2" s="114" t="str">
        <f>+Travel!A2</f>
        <v>Name of CE: Pauline A Winter</v>
      </c>
      <c r="B2" s="115"/>
      <c r="C2" s="114" t="str">
        <f>+Travel!C2</f>
        <v>For period 01/07/2015 - 30/06/2016</v>
      </c>
      <c r="D2" s="115"/>
      <c r="E2" s="3"/>
    </row>
    <row r="3" spans="1:6" ht="39.75" customHeight="1" x14ac:dyDescent="0.35">
      <c r="A3" s="4" t="s">
        <v>13</v>
      </c>
      <c r="B3" s="116" t="s">
        <v>4</v>
      </c>
      <c r="C3" s="116"/>
      <c r="D3" s="4"/>
      <c r="E3" s="4"/>
    </row>
    <row r="4" spans="1:6" ht="21.75" customHeight="1" x14ac:dyDescent="0.3">
      <c r="A4" s="3" t="s">
        <v>0</v>
      </c>
      <c r="B4" s="32" t="s">
        <v>2</v>
      </c>
      <c r="C4" s="115" t="s">
        <v>14</v>
      </c>
      <c r="D4" s="115"/>
      <c r="E4" s="3" t="s">
        <v>15</v>
      </c>
    </row>
    <row r="5" spans="1:6" s="38" customFormat="1" ht="13" x14ac:dyDescent="0.3">
      <c r="A5" s="37" t="s">
        <v>136</v>
      </c>
      <c r="B5" s="33"/>
      <c r="C5" s="34"/>
      <c r="D5" s="34"/>
      <c r="E5" s="34"/>
    </row>
    <row r="8" spans="1:6" x14ac:dyDescent="0.25">
      <c r="A8" s="2" t="s">
        <v>26</v>
      </c>
      <c r="B8" s="19">
        <v>0</v>
      </c>
    </row>
    <row r="10" spans="1:6" ht="18" customHeight="1" x14ac:dyDescent="0.35">
      <c r="A10" s="4" t="s">
        <v>13</v>
      </c>
      <c r="B10" s="116" t="s">
        <v>7</v>
      </c>
      <c r="C10" s="116"/>
      <c r="D10" s="4"/>
      <c r="E10" s="4"/>
    </row>
    <row r="11" spans="1:6" ht="15" customHeight="1" x14ac:dyDescent="0.3">
      <c r="A11" s="3" t="s">
        <v>0</v>
      </c>
      <c r="B11" s="32" t="s">
        <v>2</v>
      </c>
      <c r="C11" s="115" t="s">
        <v>14</v>
      </c>
      <c r="D11" s="115"/>
      <c r="E11" s="76" t="s">
        <v>15</v>
      </c>
      <c r="F11" t="s">
        <v>18</v>
      </c>
    </row>
    <row r="12" spans="1:6" s="45" customFormat="1" ht="13.15" customHeight="1" x14ac:dyDescent="0.25">
      <c r="A12" s="41"/>
      <c r="B12" s="70"/>
      <c r="C12" s="71"/>
      <c r="D12" s="71"/>
      <c r="E12" s="71"/>
    </row>
    <row r="13" spans="1:6" s="38" customFormat="1" ht="18.75" customHeight="1" x14ac:dyDescent="0.3">
      <c r="A13" s="41">
        <v>42216</v>
      </c>
      <c r="B13" s="69">
        <v>176.50107142857144</v>
      </c>
      <c r="C13" s="44" t="s">
        <v>120</v>
      </c>
      <c r="D13" s="43" t="s">
        <v>121</v>
      </c>
      <c r="E13" s="43"/>
      <c r="F13" s="71"/>
    </row>
    <row r="14" spans="1:6" s="45" customFormat="1" ht="18.75" customHeight="1" x14ac:dyDescent="0.25">
      <c r="A14" s="41">
        <v>42247</v>
      </c>
      <c r="B14" s="69">
        <v>87.277931034482762</v>
      </c>
      <c r="C14" s="44" t="s">
        <v>120</v>
      </c>
      <c r="D14" s="43" t="s">
        <v>121</v>
      </c>
      <c r="E14" s="43"/>
      <c r="F14" s="71"/>
    </row>
    <row r="15" spans="1:6" s="45" customFormat="1" ht="18.75" customHeight="1" x14ac:dyDescent="0.25">
      <c r="A15" s="41">
        <v>42277</v>
      </c>
      <c r="B15" s="69">
        <v>85.877586206896552</v>
      </c>
      <c r="C15" s="44" t="s">
        <v>120</v>
      </c>
      <c r="D15" s="43" t="s">
        <v>121</v>
      </c>
      <c r="E15" s="43"/>
      <c r="F15" s="71"/>
    </row>
    <row r="16" spans="1:6" s="43" customFormat="1" ht="18.75" customHeight="1" x14ac:dyDescent="0.25">
      <c r="A16" s="106">
        <v>42278</v>
      </c>
      <c r="B16" s="104">
        <f>1725</f>
        <v>1725</v>
      </c>
      <c r="C16" s="107" t="s">
        <v>175</v>
      </c>
      <c r="D16" s="71" t="s">
        <v>176</v>
      </c>
    </row>
    <row r="17" spans="1:6" s="43" customFormat="1" ht="18.75" customHeight="1" x14ac:dyDescent="0.25">
      <c r="A17" s="85">
        <v>42308</v>
      </c>
      <c r="B17" s="108">
        <v>85.598333333333329</v>
      </c>
      <c r="C17" s="105" t="s">
        <v>120</v>
      </c>
      <c r="D17" s="43" t="s">
        <v>121</v>
      </c>
      <c r="F17" s="71"/>
    </row>
    <row r="18" spans="1:6" s="43" customFormat="1" ht="18.75" customHeight="1" x14ac:dyDescent="0.25">
      <c r="A18" s="85">
        <v>42338</v>
      </c>
      <c r="B18" s="108">
        <v>85.598333333333329</v>
      </c>
      <c r="C18" s="105" t="s">
        <v>120</v>
      </c>
      <c r="D18" s="43" t="s">
        <v>121</v>
      </c>
      <c r="F18" s="71"/>
    </row>
    <row r="19" spans="1:6" s="43" customFormat="1" ht="18.75" customHeight="1" x14ac:dyDescent="0.25">
      <c r="A19" s="41">
        <v>42369</v>
      </c>
      <c r="B19" s="69">
        <v>85.598333333333329</v>
      </c>
      <c r="C19" s="44" t="s">
        <v>120</v>
      </c>
      <c r="D19" s="43" t="s">
        <v>121</v>
      </c>
      <c r="F19" s="71"/>
    </row>
    <row r="20" spans="1:6" s="43" customFormat="1" ht="18.75" customHeight="1" x14ac:dyDescent="0.25">
      <c r="A20" s="41">
        <v>42400</v>
      </c>
      <c r="B20" s="69">
        <v>85.598333333333329</v>
      </c>
      <c r="C20" s="44" t="s">
        <v>120</v>
      </c>
      <c r="D20" s="43" t="s">
        <v>121</v>
      </c>
      <c r="F20" s="71"/>
    </row>
    <row r="21" spans="1:6" s="43" customFormat="1" ht="18.75" customHeight="1" x14ac:dyDescent="0.25">
      <c r="A21" s="41">
        <v>42429</v>
      </c>
      <c r="B21" s="69">
        <v>87.598333333333329</v>
      </c>
      <c r="C21" s="44" t="s">
        <v>120</v>
      </c>
      <c r="D21" s="43" t="s">
        <v>121</v>
      </c>
      <c r="F21" s="71"/>
    </row>
    <row r="22" spans="1:6" s="43" customFormat="1" ht="18.75" customHeight="1" x14ac:dyDescent="0.25">
      <c r="A22" s="41">
        <v>42460</v>
      </c>
      <c r="B22" s="69">
        <v>86.438333333333333</v>
      </c>
      <c r="C22" s="44" t="s">
        <v>120</v>
      </c>
      <c r="D22" s="43" t="s">
        <v>121</v>
      </c>
      <c r="F22" s="44"/>
    </row>
    <row r="23" spans="1:6" s="43" customFormat="1" ht="18.75" customHeight="1" x14ac:dyDescent="0.25">
      <c r="A23" s="41">
        <v>42490</v>
      </c>
      <c r="B23" s="69">
        <v>113.37833333333333</v>
      </c>
      <c r="C23" s="44" t="s">
        <v>120</v>
      </c>
      <c r="D23" s="43" t="s">
        <v>121</v>
      </c>
      <c r="F23" s="44"/>
    </row>
    <row r="24" spans="1:6" s="43" customFormat="1" ht="18.75" customHeight="1" x14ac:dyDescent="0.25">
      <c r="A24" s="41">
        <v>42521</v>
      </c>
      <c r="B24" s="69">
        <v>85.489830508474569</v>
      </c>
      <c r="C24" s="44" t="s">
        <v>120</v>
      </c>
      <c r="D24" s="43" t="s">
        <v>121</v>
      </c>
      <c r="F24" s="44"/>
    </row>
    <row r="25" spans="1:6" s="43" customFormat="1" ht="18.75" customHeight="1" x14ac:dyDescent="0.25">
      <c r="A25" s="41">
        <v>42551</v>
      </c>
      <c r="B25" s="69">
        <v>91.103508771929825</v>
      </c>
      <c r="C25" s="44" t="s">
        <v>120</v>
      </c>
      <c r="D25" s="43" t="s">
        <v>121</v>
      </c>
      <c r="F25" s="44"/>
    </row>
    <row r="26" spans="1:6" s="43" customFormat="1" x14ac:dyDescent="0.25">
      <c r="A26" s="41"/>
      <c r="B26" s="69"/>
      <c r="F26" s="44"/>
    </row>
    <row r="27" spans="1:6" s="38" customFormat="1" ht="13" x14ac:dyDescent="0.3">
      <c r="A27" s="41"/>
      <c r="B27" s="70"/>
      <c r="C27" s="44"/>
      <c r="D27" s="34"/>
      <c r="E27" s="34"/>
      <c r="F27" s="34"/>
    </row>
    <row r="28" spans="1:6" s="38" customFormat="1" ht="13" x14ac:dyDescent="0.3">
      <c r="A28" s="37"/>
      <c r="B28" s="68"/>
      <c r="C28" s="34"/>
      <c r="D28" s="34"/>
      <c r="E28" s="34"/>
      <c r="F28" s="34"/>
    </row>
    <row r="29" spans="1:6" s="38" customFormat="1" ht="13" x14ac:dyDescent="0.3">
      <c r="A29" s="64"/>
      <c r="B29" s="75"/>
      <c r="C29" s="64"/>
      <c r="D29" s="34"/>
      <c r="E29" s="64"/>
      <c r="F29" s="34"/>
    </row>
    <row r="30" spans="1:6" s="45" customFormat="1" x14ac:dyDescent="0.25">
      <c r="A30" s="57" t="s">
        <v>26</v>
      </c>
      <c r="B30" s="69">
        <f>SUM(B13:B29)</f>
        <v>2881.0582612836884</v>
      </c>
      <c r="C30" s="44"/>
      <c r="D30" s="44"/>
      <c r="E30" s="44"/>
      <c r="F30" s="44"/>
    </row>
    <row r="32" spans="1:6" ht="28" x14ac:dyDescent="0.3">
      <c r="A32" s="9" t="s">
        <v>44</v>
      </c>
      <c r="B32" s="20">
        <f>B30+B8</f>
        <v>2881.0582612836884</v>
      </c>
      <c r="C32" s="8"/>
      <c r="D32" s="6"/>
      <c r="E32" s="6"/>
    </row>
  </sheetData>
  <sortState ref="A13:F36">
    <sortCondition ref="A13"/>
  </sortState>
  <mergeCells count="7">
    <mergeCell ref="C11:D11"/>
    <mergeCell ref="B10:C10"/>
    <mergeCell ref="C4:D4"/>
    <mergeCell ref="A1:E1"/>
    <mergeCell ref="A2:B2"/>
    <mergeCell ref="C2:D2"/>
    <mergeCell ref="B3:C3"/>
  </mergeCells>
  <printOptions gridLines="1"/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A14" sqref="A14"/>
    </sheetView>
  </sheetViews>
  <sheetFormatPr defaultRowHeight="12.5" x14ac:dyDescent="0.25"/>
  <cols>
    <col min="1" max="1" width="23.81640625" style="50" customWidth="1"/>
    <col min="2" max="2" width="23.1796875" style="2" customWidth="1"/>
    <col min="3" max="3" width="27.453125" style="2" customWidth="1"/>
    <col min="4" max="4" width="27.1796875" style="56" customWidth="1"/>
    <col min="5" max="5" width="28.1796875" style="2" customWidth="1"/>
  </cols>
  <sheetData>
    <row r="1" spans="1:5" ht="34.5" customHeight="1" x14ac:dyDescent="0.4">
      <c r="A1" s="112" t="str">
        <f>+Travel!A1</f>
        <v xml:space="preserve">Name of organisation: Ministry for Pacific Peoples </v>
      </c>
      <c r="B1" s="113"/>
      <c r="C1" s="113"/>
      <c r="D1" s="113"/>
      <c r="E1" s="113"/>
    </row>
    <row r="2" spans="1:5" ht="30" customHeight="1" x14ac:dyDescent="0.35">
      <c r="A2" s="114" t="str">
        <f>+Travel!A2</f>
        <v>Name of CE: Pauline A Winter</v>
      </c>
      <c r="B2" s="115"/>
      <c r="C2" s="114" t="str">
        <f>+Travel!C2</f>
        <v>For period 01/07/2015 - 30/06/2016</v>
      </c>
      <c r="D2" s="115"/>
      <c r="E2" s="3"/>
    </row>
    <row r="3" spans="1:5" ht="27" customHeight="1" x14ac:dyDescent="0.35">
      <c r="A3" s="116" t="s">
        <v>25</v>
      </c>
      <c r="B3" s="122"/>
      <c r="C3" s="122"/>
      <c r="D3" s="122"/>
      <c r="E3" s="122"/>
    </row>
    <row r="4" spans="1:5" s="13" customFormat="1" ht="50.25" customHeight="1" x14ac:dyDescent="0.25">
      <c r="A4" s="123" t="s">
        <v>16</v>
      </c>
      <c r="B4" s="124"/>
      <c r="C4" s="124"/>
      <c r="D4" s="124"/>
      <c r="E4" s="124"/>
    </row>
    <row r="5" spans="1:5" ht="20.25" customHeight="1" x14ac:dyDescent="0.35">
      <c r="A5" s="46" t="s">
        <v>17</v>
      </c>
      <c r="B5" s="120"/>
      <c r="C5" s="120"/>
      <c r="D5" s="51"/>
      <c r="E5" s="5"/>
    </row>
    <row r="6" spans="1:5" ht="19.5" customHeight="1" x14ac:dyDescent="0.3">
      <c r="A6" s="47" t="s">
        <v>0</v>
      </c>
      <c r="B6" s="3" t="s">
        <v>18</v>
      </c>
      <c r="C6" s="3" t="s">
        <v>19</v>
      </c>
      <c r="D6" s="52" t="s">
        <v>20</v>
      </c>
      <c r="E6" s="3"/>
    </row>
    <row r="7" spans="1:5" s="45" customFormat="1" ht="13" x14ac:dyDescent="0.3">
      <c r="A7" s="109" t="s">
        <v>136</v>
      </c>
      <c r="B7" s="44"/>
      <c r="C7" s="44"/>
      <c r="D7" s="53"/>
      <c r="E7" s="44"/>
    </row>
    <row r="12" spans="1:5" s="15" customFormat="1" ht="27" customHeight="1" x14ac:dyDescent="0.35">
      <c r="A12" s="48" t="s">
        <v>21</v>
      </c>
      <c r="B12" s="121"/>
      <c r="C12" s="121"/>
      <c r="D12" s="54"/>
      <c r="E12" s="14"/>
    </row>
    <row r="13" spans="1:5" ht="13" x14ac:dyDescent="0.3">
      <c r="A13" s="47" t="s">
        <v>0</v>
      </c>
      <c r="B13" s="3" t="s">
        <v>18</v>
      </c>
      <c r="C13" s="3" t="s">
        <v>22</v>
      </c>
      <c r="D13" s="52" t="s">
        <v>23</v>
      </c>
      <c r="E13" s="3"/>
    </row>
    <row r="14" spans="1:5" ht="13" x14ac:dyDescent="0.3">
      <c r="A14" s="109" t="s">
        <v>136</v>
      </c>
    </row>
    <row r="20" spans="1:5" x14ac:dyDescent="0.25">
      <c r="A20" s="49"/>
      <c r="B20" s="1"/>
      <c r="C20" s="1"/>
      <c r="D20" s="55"/>
      <c r="E20" s="1"/>
    </row>
  </sheetData>
  <mergeCells count="7">
    <mergeCell ref="B12:C12"/>
    <mergeCell ref="A3:E3"/>
    <mergeCell ref="A4:E4"/>
    <mergeCell ref="B5:C5"/>
    <mergeCell ref="A1:E1"/>
    <mergeCell ref="A2:B2"/>
    <mergeCell ref="C2:D2"/>
  </mergeCells>
  <printOptions gridLines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Other</vt:lpstr>
      <vt:lpstr>Gifts</vt:lpstr>
      <vt:lpstr>Gifts!Print_Area</vt:lpstr>
      <vt:lpstr>Hospitality!Print_Area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Michael Smith</cp:lastModifiedBy>
  <cp:lastPrinted>2016-07-15T02:15:06Z</cp:lastPrinted>
  <dcterms:created xsi:type="dcterms:W3CDTF">2010-10-17T20:59:02Z</dcterms:created>
  <dcterms:modified xsi:type="dcterms:W3CDTF">2016-08-07T23:29:17Z</dcterms:modified>
</cp:coreProperties>
</file>